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N:\Investor_Relations\03_Aktie\Rückkauf 2022\"/>
    </mc:Choice>
  </mc:AlternateContent>
  <xr:revisionPtr revIDLastSave="0" documentId="13_ncr:1_{E8703234-3533-4F56-A1DD-C0A533A1332E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are buyback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2" i="1" l="1"/>
  <c r="D402" i="1"/>
  <c r="C402" i="1"/>
  <c r="B402" i="1"/>
  <c r="D400" i="1"/>
  <c r="C400" i="1"/>
  <c r="C399" i="1"/>
  <c r="G398" i="1"/>
  <c r="C398" i="1"/>
  <c r="C397" i="1" l="1"/>
  <c r="C396" i="1"/>
  <c r="G395" i="1"/>
  <c r="C395" i="1"/>
  <c r="C394" i="1" l="1"/>
  <c r="C393" i="1"/>
  <c r="G392" i="1"/>
  <c r="C392" i="1"/>
  <c r="C391" i="1" l="1"/>
  <c r="C390" i="1"/>
  <c r="G389" i="1"/>
  <c r="C389" i="1"/>
  <c r="C388" i="1" l="1"/>
  <c r="C387" i="1"/>
  <c r="G386" i="1"/>
  <c r="C386" i="1"/>
  <c r="D382" i="1" l="1"/>
  <c r="D379" i="1"/>
  <c r="D376" i="1"/>
  <c r="D373" i="1"/>
  <c r="D385" i="1"/>
  <c r="C385" i="1"/>
  <c r="C384" i="1"/>
  <c r="G383" i="1"/>
  <c r="C383" i="1"/>
  <c r="C382" i="1" l="1"/>
  <c r="C381" i="1"/>
  <c r="G380" i="1"/>
  <c r="C380" i="1"/>
  <c r="C379" i="1" l="1"/>
  <c r="C378" i="1"/>
  <c r="G377" i="1"/>
  <c r="C377" i="1"/>
  <c r="C376" i="1" l="1"/>
  <c r="C375" i="1"/>
  <c r="G374" i="1"/>
  <c r="C374" i="1"/>
  <c r="C373" i="1" l="1"/>
  <c r="C372" i="1"/>
  <c r="G371" i="1"/>
  <c r="C371" i="1"/>
  <c r="D367" i="1" l="1"/>
  <c r="D370" i="1"/>
  <c r="C370" i="1"/>
  <c r="C369" i="1"/>
  <c r="G368" i="1"/>
  <c r="C368" i="1"/>
  <c r="C367" i="1" l="1"/>
  <c r="C366" i="1"/>
  <c r="G365" i="1"/>
  <c r="C365" i="1"/>
  <c r="C364" i="1" l="1"/>
  <c r="C363" i="1"/>
  <c r="G362" i="1"/>
  <c r="C362" i="1"/>
  <c r="C361" i="1" l="1"/>
  <c r="C360" i="1"/>
  <c r="G359" i="1"/>
  <c r="C359" i="1"/>
  <c r="C358" i="1" l="1"/>
  <c r="C357" i="1"/>
  <c r="G356" i="1"/>
  <c r="C356" i="1"/>
  <c r="C353" i="1"/>
  <c r="G353" i="1"/>
  <c r="C354" i="1"/>
  <c r="C355" i="1"/>
  <c r="D355" i="1"/>
  <c r="D352" i="1" l="1"/>
  <c r="D349" i="1"/>
  <c r="D346" i="1"/>
  <c r="D343" i="1"/>
  <c r="C352" i="1" l="1"/>
  <c r="C351" i="1"/>
  <c r="G350" i="1"/>
  <c r="C350" i="1"/>
  <c r="C349" i="1" l="1"/>
  <c r="C348" i="1"/>
  <c r="G347" i="1"/>
  <c r="C347" i="1"/>
  <c r="C346" i="1" l="1"/>
  <c r="C345" i="1"/>
  <c r="G344" i="1"/>
  <c r="C344" i="1"/>
  <c r="C343" i="1" l="1"/>
  <c r="C342" i="1"/>
  <c r="G341" i="1"/>
  <c r="C341" i="1"/>
  <c r="D340" i="1" l="1"/>
  <c r="C340" i="1"/>
  <c r="C339" i="1"/>
  <c r="G338" i="1"/>
  <c r="C338" i="1"/>
  <c r="D337" i="1"/>
  <c r="D334" i="1"/>
  <c r="D331" i="1"/>
  <c r="D328" i="1"/>
  <c r="C337" i="1" l="1"/>
  <c r="C336" i="1"/>
  <c r="G335" i="1"/>
  <c r="C335" i="1"/>
  <c r="C334" i="1" l="1"/>
  <c r="C333" i="1"/>
  <c r="G332" i="1"/>
  <c r="C332" i="1"/>
  <c r="C331" i="1" l="1"/>
  <c r="C330" i="1"/>
  <c r="G329" i="1"/>
  <c r="C329" i="1"/>
  <c r="C328" i="1" l="1"/>
  <c r="C327" i="1"/>
  <c r="G326" i="1"/>
  <c r="C326" i="1"/>
  <c r="D325" i="1" l="1"/>
  <c r="C325" i="1"/>
  <c r="C324" i="1"/>
  <c r="G323" i="1"/>
  <c r="C323" i="1"/>
  <c r="C322" i="1" l="1"/>
  <c r="C321" i="1"/>
  <c r="G320" i="1"/>
  <c r="C320" i="1"/>
  <c r="C319" i="1" l="1"/>
  <c r="C318" i="1"/>
  <c r="G317" i="1"/>
  <c r="C317" i="1"/>
  <c r="C316" i="1" l="1"/>
  <c r="C315" i="1"/>
  <c r="G314" i="1"/>
  <c r="C314" i="1"/>
  <c r="C313" i="1" l="1"/>
  <c r="C312" i="1"/>
  <c r="G311" i="1"/>
  <c r="C311" i="1"/>
  <c r="C310" i="1" l="1"/>
  <c r="C309" i="1"/>
  <c r="G308" i="1"/>
  <c r="C308" i="1"/>
  <c r="C307" i="1" l="1"/>
  <c r="C306" i="1"/>
  <c r="G305" i="1"/>
  <c r="C305" i="1"/>
  <c r="D304" i="1" l="1"/>
  <c r="D301" i="1"/>
  <c r="D298" i="1"/>
  <c r="D295" i="1"/>
  <c r="D292" i="1"/>
  <c r="C304" i="1"/>
  <c r="C303" i="1"/>
  <c r="G302" i="1"/>
  <c r="C302" i="1"/>
  <c r="C301" i="1" l="1"/>
  <c r="C300" i="1"/>
  <c r="G299" i="1"/>
  <c r="C299" i="1"/>
  <c r="C298" i="1" l="1"/>
  <c r="C297" i="1"/>
  <c r="G296" i="1"/>
  <c r="C296" i="1"/>
  <c r="G293" i="1" l="1"/>
  <c r="C295" i="1"/>
  <c r="C294" i="1"/>
  <c r="C293" i="1"/>
  <c r="C292" i="1" l="1"/>
  <c r="C291" i="1"/>
  <c r="G290" i="1"/>
  <c r="C290" i="1"/>
  <c r="D289" i="1" l="1"/>
  <c r="D286" i="1"/>
  <c r="D283" i="1"/>
  <c r="D280" i="1"/>
  <c r="D277" i="1"/>
  <c r="C289" i="1"/>
  <c r="C288" i="1"/>
  <c r="G287" i="1"/>
  <c r="C287" i="1"/>
  <c r="C286" i="1" l="1"/>
  <c r="C285" i="1"/>
  <c r="G284" i="1"/>
  <c r="C284" i="1"/>
  <c r="C283" i="1" l="1"/>
  <c r="C282" i="1"/>
  <c r="G281" i="1"/>
  <c r="C281" i="1"/>
  <c r="C280" i="1" l="1"/>
  <c r="C279" i="1"/>
  <c r="G278" i="1"/>
  <c r="C278" i="1"/>
  <c r="G275" i="1" l="1"/>
  <c r="C277" i="1"/>
  <c r="C276" i="1"/>
  <c r="C275" i="1"/>
  <c r="D274" i="1" l="1"/>
  <c r="D271" i="1"/>
  <c r="D268" i="1"/>
  <c r="D265" i="1"/>
  <c r="D262" i="1"/>
  <c r="C274" i="1"/>
  <c r="C273" i="1"/>
  <c r="G272" i="1"/>
  <c r="C272" i="1"/>
  <c r="C271" i="1" l="1"/>
  <c r="C270" i="1"/>
  <c r="G269" i="1"/>
  <c r="C269" i="1"/>
  <c r="C268" i="1" l="1"/>
  <c r="C267" i="1"/>
  <c r="G266" i="1"/>
  <c r="C266" i="1"/>
  <c r="C265" i="1" l="1"/>
  <c r="C264" i="1"/>
  <c r="G263" i="1"/>
  <c r="C263" i="1"/>
  <c r="C262" i="1" l="1"/>
  <c r="C261" i="1"/>
  <c r="G260" i="1"/>
  <c r="C260" i="1"/>
  <c r="D259" i="1" l="1"/>
  <c r="D256" i="1"/>
  <c r="D253" i="1"/>
  <c r="D250" i="1"/>
  <c r="D249" i="1"/>
  <c r="D247" i="1"/>
  <c r="C259" i="1"/>
  <c r="C258" i="1"/>
  <c r="G257" i="1"/>
  <c r="C257" i="1"/>
  <c r="C256" i="1" l="1"/>
  <c r="C255" i="1"/>
  <c r="G254" i="1"/>
  <c r="C254" i="1"/>
  <c r="C253" i="1" l="1"/>
  <c r="C252" i="1"/>
  <c r="G251" i="1"/>
  <c r="C251" i="1"/>
  <c r="C250" i="1" l="1"/>
  <c r="C249" i="1"/>
  <c r="G248" i="1"/>
  <c r="C248" i="1"/>
  <c r="C247" i="1" l="1"/>
  <c r="C246" i="1"/>
  <c r="G245" i="1"/>
  <c r="C245" i="1"/>
  <c r="D244" i="1" l="1"/>
  <c r="D241" i="1"/>
  <c r="C244" i="1" l="1"/>
  <c r="C243" i="1"/>
  <c r="G242" i="1"/>
  <c r="C242" i="1"/>
  <c r="C241" i="1" l="1"/>
  <c r="C240" i="1"/>
  <c r="G239" i="1"/>
  <c r="C239" i="1"/>
  <c r="D232" i="1" l="1"/>
  <c r="D238" i="1" l="1"/>
  <c r="D235" i="1"/>
  <c r="D229" i="1"/>
  <c r="D226" i="1"/>
  <c r="C238" i="1"/>
  <c r="C237" i="1"/>
  <c r="G236" i="1"/>
  <c r="C236" i="1"/>
  <c r="C235" i="1" l="1"/>
  <c r="C234" i="1"/>
  <c r="G233" i="1"/>
  <c r="C233" i="1"/>
  <c r="C232" i="1" l="1"/>
  <c r="C231" i="1"/>
  <c r="G230" i="1"/>
  <c r="C230" i="1"/>
  <c r="C229" i="1" l="1"/>
  <c r="C228" i="1"/>
  <c r="G227" i="1"/>
  <c r="C227" i="1"/>
  <c r="C226" i="1" l="1"/>
  <c r="C225" i="1"/>
  <c r="G224" i="1"/>
  <c r="C224" i="1"/>
  <c r="D223" i="1" l="1"/>
  <c r="D220" i="1"/>
  <c r="D217" i="1"/>
  <c r="D214" i="1"/>
  <c r="D211" i="1"/>
  <c r="C223" i="1" l="1"/>
  <c r="C222" i="1"/>
  <c r="G221" i="1"/>
  <c r="C221" i="1"/>
  <c r="C220" i="1" l="1"/>
  <c r="C219" i="1"/>
  <c r="G218" i="1"/>
  <c r="C218" i="1"/>
  <c r="C217" i="1" l="1"/>
  <c r="C216" i="1"/>
  <c r="G215" i="1"/>
  <c r="C215" i="1"/>
  <c r="C214" i="1" l="1"/>
  <c r="C213" i="1"/>
  <c r="G212" i="1"/>
  <c r="C212" i="1"/>
  <c r="C211" i="1" l="1"/>
  <c r="C210" i="1"/>
  <c r="G209" i="1"/>
  <c r="C209" i="1"/>
  <c r="D208" i="1" l="1"/>
  <c r="D205" i="1"/>
  <c r="D202" i="1"/>
  <c r="D199" i="1"/>
  <c r="D196" i="1"/>
  <c r="C208" i="1"/>
  <c r="C207" i="1"/>
  <c r="G206" i="1"/>
  <c r="C206" i="1"/>
  <c r="C205" i="1" l="1"/>
  <c r="C204" i="1"/>
  <c r="G203" i="1"/>
  <c r="C203" i="1"/>
  <c r="C202" i="1"/>
  <c r="C201" i="1"/>
  <c r="G200" i="1"/>
  <c r="C200" i="1"/>
  <c r="C199" i="1" l="1"/>
  <c r="C198" i="1"/>
  <c r="G197" i="1"/>
  <c r="C197" i="1"/>
  <c r="C196" i="1" l="1"/>
  <c r="C195" i="1"/>
  <c r="G194" i="1"/>
  <c r="C194" i="1"/>
  <c r="D184" i="1" l="1"/>
  <c r="D187" i="1"/>
  <c r="D190" i="1"/>
  <c r="D193" i="1"/>
  <c r="C193" i="1"/>
  <c r="C192" i="1"/>
  <c r="G191" i="1"/>
  <c r="C191" i="1"/>
  <c r="G188" i="1" l="1"/>
  <c r="C190" i="1"/>
  <c r="C189" i="1"/>
  <c r="C188" i="1"/>
  <c r="G185" i="1" l="1"/>
  <c r="C187" i="1"/>
  <c r="C186" i="1"/>
  <c r="C185" i="1"/>
  <c r="C184" i="1" l="1"/>
  <c r="C183" i="1"/>
  <c r="G182" i="1"/>
  <c r="C182" i="1"/>
  <c r="D169" i="1" l="1"/>
  <c r="D172" i="1"/>
  <c r="D175" i="1"/>
  <c r="D178" i="1"/>
  <c r="D181" i="1"/>
  <c r="C181" i="1"/>
  <c r="C180" i="1"/>
  <c r="G179" i="1"/>
  <c r="C179" i="1"/>
  <c r="C178" i="1" l="1"/>
  <c r="C177" i="1"/>
  <c r="G176" i="1"/>
  <c r="C176" i="1"/>
  <c r="C175" i="1" l="1"/>
  <c r="C174" i="1"/>
  <c r="G173" i="1"/>
  <c r="C173" i="1"/>
  <c r="C172" i="1" l="1"/>
  <c r="C171" i="1"/>
  <c r="G170" i="1"/>
  <c r="C170" i="1"/>
  <c r="C169" i="1" l="1"/>
  <c r="C168" i="1"/>
  <c r="G167" i="1"/>
  <c r="C167" i="1"/>
  <c r="D166" i="1" l="1"/>
  <c r="D163" i="1"/>
  <c r="D160" i="1"/>
  <c r="D157" i="1"/>
  <c r="D156" i="1"/>
  <c r="D154" i="1"/>
  <c r="C166" i="1" l="1"/>
  <c r="C165" i="1"/>
  <c r="G164" i="1"/>
  <c r="C164" i="1"/>
  <c r="M6" i="1" l="1"/>
  <c r="C161" i="1"/>
  <c r="C163" i="1"/>
  <c r="C162" i="1"/>
  <c r="G161" i="1"/>
  <c r="C160" i="1"/>
  <c r="C159" i="1"/>
  <c r="G158" i="1"/>
  <c r="C158" i="1"/>
  <c r="M7" i="1" l="1"/>
  <c r="M8" i="1"/>
  <c r="C157" i="1"/>
  <c r="C156" i="1"/>
  <c r="G155" i="1"/>
  <c r="C155" i="1"/>
  <c r="C154" i="1" l="1"/>
  <c r="C153" i="1"/>
  <c r="G152" i="1"/>
  <c r="C152" i="1"/>
  <c r="D151" i="1" l="1"/>
  <c r="D148" i="1"/>
  <c r="D145" i="1"/>
  <c r="D142" i="1"/>
  <c r="D139" i="1"/>
  <c r="C151" i="1" l="1"/>
  <c r="C150" i="1"/>
  <c r="G149" i="1"/>
  <c r="C149" i="1"/>
  <c r="C148" i="1" l="1"/>
  <c r="C147" i="1"/>
  <c r="G146" i="1"/>
  <c r="C146" i="1"/>
  <c r="C145" i="1" l="1"/>
  <c r="C144" i="1"/>
  <c r="G143" i="1"/>
  <c r="C143" i="1"/>
  <c r="C142" i="1" l="1"/>
  <c r="C141" i="1"/>
  <c r="G140" i="1"/>
  <c r="C140" i="1"/>
  <c r="C139" i="1" l="1"/>
  <c r="C138" i="1"/>
  <c r="G137" i="1"/>
  <c r="C137" i="1"/>
  <c r="D133" i="1" l="1"/>
  <c r="D130" i="1"/>
  <c r="D127" i="1"/>
  <c r="D124" i="1"/>
  <c r="G134" i="1" l="1"/>
  <c r="C136" i="1"/>
  <c r="C135" i="1"/>
  <c r="C134" i="1"/>
  <c r="C133" i="1" l="1"/>
  <c r="C132" i="1"/>
  <c r="G131" i="1"/>
  <c r="C131" i="1"/>
  <c r="C130" i="1" l="1"/>
  <c r="C129" i="1"/>
  <c r="G128" i="1"/>
  <c r="C128" i="1"/>
  <c r="C127" i="1" l="1"/>
  <c r="C126" i="1"/>
  <c r="G125" i="1"/>
  <c r="C125" i="1"/>
  <c r="C124" i="1" l="1"/>
  <c r="C123" i="1"/>
  <c r="G122" i="1"/>
  <c r="C122" i="1"/>
  <c r="D112" i="1" l="1"/>
  <c r="D115" i="1"/>
  <c r="D118" i="1"/>
  <c r="D121" i="1"/>
  <c r="C121" i="1"/>
  <c r="C120" i="1"/>
  <c r="G119" i="1"/>
  <c r="C119" i="1"/>
  <c r="G116" i="1" l="1"/>
  <c r="C118" i="1"/>
  <c r="C117" i="1"/>
  <c r="C116" i="1"/>
  <c r="C115" i="1" l="1"/>
  <c r="C114" i="1"/>
  <c r="G113" i="1"/>
  <c r="C113" i="1"/>
  <c r="C112" i="1" l="1"/>
  <c r="C111" i="1"/>
  <c r="G110" i="1"/>
  <c r="C110" i="1"/>
  <c r="D109" i="1" l="1"/>
  <c r="D106" i="1"/>
  <c r="D103" i="1"/>
  <c r="D100" i="1"/>
  <c r="D97" i="1"/>
  <c r="C109" i="1" l="1"/>
  <c r="C108" i="1"/>
  <c r="G107" i="1"/>
  <c r="C107" i="1"/>
  <c r="C106" i="1" l="1"/>
  <c r="C105" i="1"/>
  <c r="G104" i="1"/>
  <c r="C104" i="1"/>
  <c r="C103" i="1" l="1"/>
  <c r="C102" i="1"/>
  <c r="G101" i="1"/>
  <c r="C101" i="1"/>
  <c r="C100" i="1" l="1"/>
  <c r="C99" i="1"/>
  <c r="G98" i="1"/>
  <c r="C98" i="1"/>
  <c r="C97" i="1" l="1"/>
  <c r="C96" i="1"/>
  <c r="G95" i="1"/>
  <c r="C95" i="1"/>
  <c r="D94" i="1" l="1"/>
  <c r="D91" i="1"/>
  <c r="D88" i="1"/>
  <c r="D85" i="1"/>
  <c r="C94" i="1"/>
  <c r="C93" i="1"/>
  <c r="G92" i="1"/>
  <c r="C92" i="1"/>
  <c r="C91" i="1" l="1"/>
  <c r="C90" i="1"/>
  <c r="G89" i="1"/>
  <c r="C89" i="1"/>
  <c r="C88" i="1" l="1"/>
  <c r="C87" i="1"/>
  <c r="G86" i="1"/>
  <c r="C86" i="1"/>
  <c r="C85" i="1" l="1"/>
  <c r="C84" i="1"/>
  <c r="G83" i="1"/>
  <c r="C83" i="1"/>
  <c r="D82" i="1" l="1"/>
  <c r="D79" i="1"/>
  <c r="D76" i="1"/>
  <c r="D73" i="1"/>
  <c r="C82" i="1" l="1"/>
  <c r="C81" i="1"/>
  <c r="G80" i="1"/>
  <c r="C80" i="1"/>
  <c r="C79" i="1" l="1"/>
  <c r="C78" i="1"/>
  <c r="G77" i="1"/>
  <c r="C77" i="1"/>
  <c r="C76" i="1" l="1"/>
  <c r="C75" i="1"/>
  <c r="G74" i="1"/>
  <c r="C74" i="1"/>
  <c r="C73" i="1" l="1"/>
  <c r="C72" i="1"/>
  <c r="G71" i="1"/>
  <c r="C71" i="1"/>
  <c r="D70" i="1" l="1"/>
  <c r="D67" i="1"/>
  <c r="D64" i="1"/>
  <c r="D61" i="1"/>
  <c r="D58" i="1"/>
  <c r="C70" i="1"/>
  <c r="C69" i="1"/>
  <c r="G68" i="1"/>
  <c r="C68" i="1"/>
  <c r="C67" i="1" l="1"/>
  <c r="C66" i="1"/>
  <c r="G65" i="1"/>
  <c r="C65" i="1"/>
  <c r="C64" i="1" l="1"/>
  <c r="C63" i="1"/>
  <c r="G62" i="1"/>
  <c r="C62" i="1"/>
  <c r="C61" i="1" l="1"/>
  <c r="C60" i="1"/>
  <c r="G59" i="1"/>
  <c r="C59" i="1"/>
  <c r="C58" i="1" l="1"/>
  <c r="C57" i="1"/>
  <c r="G56" i="1"/>
  <c r="C56" i="1"/>
  <c r="D55" i="1" l="1"/>
  <c r="D52" i="1"/>
  <c r="D49" i="1"/>
  <c r="D46" i="1"/>
  <c r="D43" i="1"/>
  <c r="C55" i="1" l="1"/>
  <c r="C54" i="1"/>
  <c r="G53" i="1"/>
  <c r="C53" i="1"/>
  <c r="C52" i="1" l="1"/>
  <c r="C51" i="1"/>
  <c r="G50" i="1"/>
  <c r="C50" i="1"/>
  <c r="G47" i="1" l="1"/>
  <c r="C49" i="1"/>
  <c r="C48" i="1"/>
  <c r="C47" i="1"/>
  <c r="G44" i="1" l="1"/>
  <c r="C46" i="1"/>
  <c r="C45" i="1"/>
  <c r="C44" i="1"/>
  <c r="C43" i="1" l="1"/>
  <c r="C42" i="1"/>
  <c r="G41" i="1"/>
  <c r="C41" i="1"/>
  <c r="D40" i="1" l="1"/>
  <c r="D37" i="1"/>
  <c r="D34" i="1"/>
  <c r="D31" i="1"/>
  <c r="D28" i="1"/>
  <c r="C40" i="1" l="1"/>
  <c r="C39" i="1"/>
  <c r="G38" i="1"/>
  <c r="C38" i="1"/>
  <c r="C37" i="1" l="1"/>
  <c r="C36" i="1"/>
  <c r="G35" i="1"/>
  <c r="C35" i="1"/>
  <c r="C34" i="1" l="1"/>
  <c r="C33" i="1"/>
  <c r="G32" i="1"/>
  <c r="C32" i="1"/>
  <c r="C31" i="1" l="1"/>
  <c r="C30" i="1"/>
  <c r="G29" i="1"/>
  <c r="C29" i="1"/>
  <c r="C28" i="1" l="1"/>
  <c r="C27" i="1"/>
  <c r="G26" i="1"/>
  <c r="C26" i="1"/>
  <c r="D22" i="1" l="1"/>
  <c r="D19" i="1"/>
  <c r="D16" i="1"/>
  <c r="D13" i="1"/>
  <c r="B25" i="1"/>
  <c r="D25" i="1" s="1"/>
  <c r="C24" i="1"/>
  <c r="G23" i="1"/>
  <c r="C23" i="1"/>
  <c r="C25" i="1" l="1"/>
  <c r="C22" i="1"/>
  <c r="C21" i="1"/>
  <c r="G20" i="1"/>
  <c r="C20" i="1"/>
  <c r="C19" i="1" l="1"/>
  <c r="C18" i="1"/>
  <c r="G17" i="1"/>
  <c r="C17" i="1"/>
  <c r="C16" i="1" l="1"/>
  <c r="C15" i="1"/>
  <c r="G14" i="1"/>
  <c r="C14" i="1"/>
  <c r="C13" i="1" l="1"/>
  <c r="C12" i="1"/>
  <c r="G11" i="1"/>
  <c r="C11" i="1"/>
  <c r="D7" i="1" l="1"/>
  <c r="D10" i="1" l="1"/>
  <c r="D4" i="1"/>
  <c r="C10" i="1"/>
  <c r="C9" i="1"/>
  <c r="G8" i="1"/>
  <c r="C8" i="1"/>
  <c r="C7" i="1" l="1"/>
  <c r="C6" i="1"/>
  <c r="C5" i="1"/>
  <c r="G2" i="1" l="1"/>
  <c r="C3" i="1"/>
  <c r="C4" i="1"/>
  <c r="C2" i="1"/>
</calcChain>
</file>

<file path=xl/sharedStrings.xml><?xml version="1.0" encoding="utf-8"?>
<sst xmlns="http://schemas.openxmlformats.org/spreadsheetml/2006/main" count="280" uniqueCount="15">
  <si>
    <t>Number of repurchased shares</t>
  </si>
  <si>
    <t>Share of capital</t>
  </si>
  <si>
    <t>Paid share price high (€)</t>
  </si>
  <si>
    <t>Paid share price low (€)</t>
  </si>
  <si>
    <t>Amount (€)</t>
  </si>
  <si>
    <t>thereof Vienna Stock Exchange</t>
  </si>
  <si>
    <t>thereof MTF</t>
  </si>
  <si>
    <t>Total</t>
  </si>
  <si>
    <t>Share capital:</t>
  </si>
  <si>
    <t>Buyback to date:</t>
  </si>
  <si>
    <t>Buyback completed to date in %:</t>
  </si>
  <si>
    <t>Buyback left:</t>
  </si>
  <si>
    <t>Max. total buyback:</t>
  </si>
  <si>
    <t>Daily buyback price per share (€)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</si>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</sst>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%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AF0917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AF0917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49" fontId="2" fillId="0" borderId="1" xfId="0" quotePrefix="1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/>
    <xf numFmtId="0" fontId="3" fillId="0" borderId="0" xfId="0" applyFont="1"/>
    <xf numFmtId="0" fontId="3" fillId="0" borderId="2" xfId="0" applyFont="1" applyBorder="1"/>
    <xf numFmtId="3" fontId="3" fillId="0" borderId="0" xfId="0" applyNumberFormat="1" applyFont="1"/>
    <xf numFmtId="4" fontId="5" fillId="0" borderId="0" xfId="1" applyNumberFormat="1" applyFont="1"/>
    <xf numFmtId="4" fontId="4" fillId="0" borderId="0" xfId="1" applyNumberFormat="1"/>
    <xf numFmtId="3" fontId="4" fillId="0" borderId="0" xfId="1" applyNumberFormat="1"/>
    <xf numFmtId="14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4" fontId="0" fillId="0" borderId="2" xfId="0" applyNumberFormat="1" applyBorder="1"/>
    <xf numFmtId="0" fontId="1" fillId="0" borderId="0" xfId="0" applyFont="1" applyFill="1" applyBorder="1"/>
    <xf numFmtId="0" fontId="3" fillId="0" borderId="0" xfId="0" applyFont="1" applyBorder="1"/>
    <xf numFmtId="0" fontId="1" fillId="0" borderId="0" xfId="0" applyFont="1"/>
    <xf numFmtId="3" fontId="0" fillId="0" borderId="0" xfId="0" applyNumberFormat="1"/>
    <xf numFmtId="3" fontId="0" fillId="0" borderId="2" xfId="0" applyNumberFormat="1" applyBorder="1"/>
    <xf numFmtId="10" fontId="0" fillId="0" borderId="0" xfId="0" applyNumberFormat="1"/>
    <xf numFmtId="0" fontId="4" fillId="0" borderId="0" xfId="1"/>
    <xf numFmtId="10" fontId="4" fillId="0" borderId="0" xfId="2" applyNumberFormat="1" applyFont="1"/>
    <xf numFmtId="3" fontId="3" fillId="0" borderId="0" xfId="0" applyNumberFormat="1" applyFont="1" applyFill="1"/>
    <xf numFmtId="3" fontId="3" fillId="0" borderId="2" xfId="0" applyNumberFormat="1" applyFont="1" applyFill="1" applyBorder="1"/>
    <xf numFmtId="3" fontId="3" fillId="0" borderId="2" xfId="0" applyNumberFormat="1" applyFont="1" applyBorder="1"/>
    <xf numFmtId="165" fontId="1" fillId="0" borderId="0" xfId="0" applyNumberFormat="1" applyFont="1"/>
    <xf numFmtId="165" fontId="1" fillId="0" borderId="2" xfId="0" applyNumberFormat="1" applyFont="1" applyBorder="1"/>
    <xf numFmtId="166" fontId="1" fillId="0" borderId="0" xfId="0" applyNumberFormat="1" applyFont="1"/>
    <xf numFmtId="166" fontId="0" fillId="0" borderId="0" xfId="0" applyNumberFormat="1"/>
    <xf numFmtId="166" fontId="0" fillId="0" borderId="2" xfId="0" applyNumberFormat="1" applyBorder="1"/>
    <xf numFmtId="165" fontId="0" fillId="0" borderId="0" xfId="2" applyNumberFormat="1" applyFont="1"/>
    <xf numFmtId="10" fontId="0" fillId="0" borderId="0" xfId="2" applyNumberFormat="1" applyFont="1"/>
  </cellXfs>
  <cellStyles count="3">
    <cellStyle name="Prozent" xfId="2" builtinId="5"/>
    <cellStyle name="Standard" xfId="0" builtinId="0"/>
    <cellStyle name="Stand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0"/>
  <sheetViews>
    <sheetView tabSelected="1" zoomScaleNormal="100" workbookViewId="0">
      <pane ySplit="1" topLeftCell="A373" activePane="bottomLeft" state="frozen"/>
      <selection pane="bottomLeft" activeCell="A399" sqref="A399:A400"/>
    </sheetView>
  </sheetViews>
  <sheetFormatPr baseColWidth="10" defaultColWidth="11.42578125" defaultRowHeight="15" x14ac:dyDescent="0.25"/>
  <cols>
    <col min="1" max="1" width="28.5703125" customWidth="1"/>
    <col min="2" max="2" width="15.28515625" customWidth="1"/>
    <col min="3" max="3" width="13.7109375" customWidth="1"/>
    <col min="4" max="4" width="16.7109375" customWidth="1"/>
    <col min="7" max="7" width="12.5703125" bestFit="1" customWidth="1"/>
  </cols>
  <sheetData>
    <row r="1" spans="1:13" ht="37.5" thickBot="1" x14ac:dyDescent="0.3">
      <c r="A1" s="1"/>
      <c r="B1" s="2" t="s">
        <v>0</v>
      </c>
      <c r="C1" s="2" t="s">
        <v>1</v>
      </c>
      <c r="D1" s="3" t="s">
        <v>13</v>
      </c>
      <c r="E1" s="3" t="s">
        <v>2</v>
      </c>
      <c r="F1" s="3" t="s">
        <v>3</v>
      </c>
      <c r="G1" s="4" t="s">
        <v>4</v>
      </c>
    </row>
    <row r="2" spans="1:13" x14ac:dyDescent="0.25">
      <c r="A2" s="11">
        <v>44629</v>
      </c>
      <c r="B2" s="12">
        <v>61607</v>
      </c>
      <c r="C2" s="27">
        <f>B2/$M$4</f>
        <v>5.3483878205280136E-4</v>
      </c>
      <c r="D2" s="18">
        <v>26.759</v>
      </c>
      <c r="E2" s="13"/>
      <c r="F2" s="13"/>
      <c r="G2" s="12">
        <f>D2*B2</f>
        <v>1648541.713</v>
      </c>
    </row>
    <row r="3" spans="1:13" x14ac:dyDescent="0.25">
      <c r="A3" s="5" t="s">
        <v>5</v>
      </c>
      <c r="B3" s="24">
        <v>50007</v>
      </c>
      <c r="C3" s="27">
        <f t="shared" ref="C3:C4" si="0">B3/$M$4</f>
        <v>4.3413383177422102E-4</v>
      </c>
      <c r="D3" s="30">
        <v>26.7029</v>
      </c>
      <c r="E3" s="14">
        <v>27.52</v>
      </c>
      <c r="F3" s="14">
        <v>25.4</v>
      </c>
      <c r="G3" s="19"/>
      <c r="J3" s="8" t="s">
        <v>7</v>
      </c>
      <c r="K3" s="8"/>
      <c r="L3" s="8"/>
      <c r="M3" s="9"/>
    </row>
    <row r="4" spans="1:13" x14ac:dyDescent="0.25">
      <c r="A4" s="6" t="s">
        <v>6</v>
      </c>
      <c r="B4" s="25">
        <v>11600</v>
      </c>
      <c r="C4" s="28">
        <f t="shared" si="0"/>
        <v>1.0070495027858028E-4</v>
      </c>
      <c r="D4" s="31">
        <f>((1087*27.0462)+(9086*26.9795)+(1427*27.1024))/B4</f>
        <v>27.000869068965518</v>
      </c>
      <c r="E4" s="15">
        <v>27.5</v>
      </c>
      <c r="F4" s="15">
        <v>25.96</v>
      </c>
      <c r="G4" s="20"/>
      <c r="J4" s="9" t="s">
        <v>8</v>
      </c>
      <c r="K4" s="9"/>
      <c r="L4" s="9"/>
      <c r="M4" s="10">
        <v>115187982</v>
      </c>
    </row>
    <row r="5" spans="1:13" x14ac:dyDescent="0.25">
      <c r="A5" s="11">
        <v>44630</v>
      </c>
      <c r="B5" s="12">
        <v>50000</v>
      </c>
      <c r="C5" s="27">
        <f>B5/M4</f>
        <v>4.3407306154560465E-4</v>
      </c>
      <c r="D5" s="18">
        <v>26.966000000000001</v>
      </c>
      <c r="E5" s="13"/>
      <c r="F5" s="13"/>
      <c r="G5" s="12">
        <v>1348300</v>
      </c>
      <c r="J5" s="22" t="s">
        <v>12</v>
      </c>
      <c r="K5" s="22"/>
      <c r="L5" s="22"/>
      <c r="M5" s="10">
        <v>8830000</v>
      </c>
    </row>
    <row r="6" spans="1:13" x14ac:dyDescent="0.25">
      <c r="A6" s="5" t="s">
        <v>5</v>
      </c>
      <c r="B6" s="7">
        <v>45145</v>
      </c>
      <c r="C6" s="27">
        <f t="shared" ref="C6:C43" si="1">B6/$M$4</f>
        <v>3.9192456726952642E-4</v>
      </c>
      <c r="D6" s="30">
        <v>26.9693</v>
      </c>
      <c r="E6" s="14">
        <v>27.28</v>
      </c>
      <c r="F6" s="14">
        <v>26.36</v>
      </c>
      <c r="G6" s="19"/>
      <c r="J6" s="9" t="s">
        <v>9</v>
      </c>
      <c r="K6" s="9"/>
      <c r="L6" s="9"/>
      <c r="M6" s="10">
        <f>B402</f>
        <v>8830000</v>
      </c>
    </row>
    <row r="7" spans="1:13" x14ac:dyDescent="0.25">
      <c r="A7" s="6" t="s">
        <v>6</v>
      </c>
      <c r="B7" s="26">
        <v>4855</v>
      </c>
      <c r="C7" s="28">
        <f t="shared" si="1"/>
        <v>4.2148494276078214E-5</v>
      </c>
      <c r="D7" s="31">
        <f>((1482*26.8172)+(3045*26.9882)+(328*26.9762))/B7</f>
        <v>26.935191143151393</v>
      </c>
      <c r="E7" s="15">
        <v>27.26</v>
      </c>
      <c r="F7" s="15">
        <v>26.66</v>
      </c>
      <c r="G7" s="20"/>
      <c r="J7" s="9" t="s">
        <v>10</v>
      </c>
      <c r="K7" s="9"/>
      <c r="L7" s="9"/>
      <c r="M7" s="23">
        <f>M6/M5</f>
        <v>1</v>
      </c>
    </row>
    <row r="8" spans="1:13" x14ac:dyDescent="0.25">
      <c r="A8" s="11">
        <v>44631</v>
      </c>
      <c r="B8" s="12">
        <v>44000</v>
      </c>
      <c r="C8" s="27">
        <f t="shared" si="1"/>
        <v>3.8198429416013211E-4</v>
      </c>
      <c r="D8" s="29">
        <v>27.6342</v>
      </c>
      <c r="E8" s="13"/>
      <c r="F8" s="13"/>
      <c r="G8" s="12">
        <f>B8*D8</f>
        <v>1215904.8</v>
      </c>
      <c r="J8" s="9" t="s">
        <v>11</v>
      </c>
      <c r="K8" s="9"/>
      <c r="L8" s="9"/>
      <c r="M8" s="10">
        <f>M5-M6</f>
        <v>0</v>
      </c>
    </row>
    <row r="9" spans="1:13" x14ac:dyDescent="0.25">
      <c r="A9" s="5" t="s">
        <v>5</v>
      </c>
      <c r="B9" s="7">
        <v>38367</v>
      </c>
      <c r="C9" s="27">
        <f t="shared" si="1"/>
        <v>3.3308162304640428E-4</v>
      </c>
      <c r="D9" s="30">
        <v>27.644600000000001</v>
      </c>
      <c r="E9" s="14">
        <v>27.98</v>
      </c>
      <c r="F9" s="14">
        <v>27.2</v>
      </c>
      <c r="G9" s="19"/>
      <c r="J9" s="9"/>
      <c r="K9" s="9"/>
      <c r="L9" s="9"/>
      <c r="M9" s="23"/>
    </row>
    <row r="10" spans="1:13" x14ac:dyDescent="0.25">
      <c r="A10" s="6" t="s">
        <v>6</v>
      </c>
      <c r="B10" s="26">
        <v>5633</v>
      </c>
      <c r="C10" s="28">
        <f t="shared" si="1"/>
        <v>4.8902671113727816E-5</v>
      </c>
      <c r="D10" s="31">
        <f>((2708*27.598)+(2599*27.5486)+(326*27.3942))/B10</f>
        <v>27.563412852831529</v>
      </c>
      <c r="E10" s="15">
        <v>27.88</v>
      </c>
      <c r="F10" s="15">
        <v>27.26</v>
      </c>
      <c r="G10" s="20"/>
      <c r="J10" s="9"/>
      <c r="K10" s="9"/>
      <c r="L10" s="9"/>
      <c r="M10" s="23"/>
    </row>
    <row r="11" spans="1:13" x14ac:dyDescent="0.25">
      <c r="A11" s="11">
        <v>44634</v>
      </c>
      <c r="B11" s="12">
        <v>44500</v>
      </c>
      <c r="C11" s="27">
        <f t="shared" si="1"/>
        <v>3.8632502477558813E-4</v>
      </c>
      <c r="D11" s="13">
        <v>28.6099</v>
      </c>
      <c r="E11" s="13"/>
      <c r="F11" s="13"/>
      <c r="G11" s="12">
        <f>B11*D11</f>
        <v>1273140.55</v>
      </c>
      <c r="J11" s="9"/>
      <c r="K11" s="9"/>
      <c r="L11" s="9"/>
      <c r="M11" s="23"/>
    </row>
    <row r="12" spans="1:13" x14ac:dyDescent="0.25">
      <c r="A12" s="5" t="s">
        <v>5</v>
      </c>
      <c r="B12" s="7">
        <v>34526</v>
      </c>
      <c r="C12" s="27">
        <f t="shared" si="1"/>
        <v>2.9973613045847089E-4</v>
      </c>
      <c r="D12" s="14">
        <v>28.604199999999999</v>
      </c>
      <c r="E12" s="14">
        <v>28.96</v>
      </c>
      <c r="F12" s="14">
        <v>28.02</v>
      </c>
      <c r="G12" s="19"/>
      <c r="J12" s="9"/>
      <c r="K12" s="9"/>
      <c r="L12" s="9"/>
      <c r="M12" s="23"/>
    </row>
    <row r="13" spans="1:13" x14ac:dyDescent="0.25">
      <c r="A13" s="6" t="s">
        <v>6</v>
      </c>
      <c r="B13" s="26">
        <v>9974</v>
      </c>
      <c r="C13" s="28">
        <f t="shared" si="1"/>
        <v>8.658889431711722E-5</v>
      </c>
      <c r="D13" s="15">
        <f>((28.5481*713)+(28.6326*8315)+(28.6678*946))/B13</f>
        <v>28.629898044916786</v>
      </c>
      <c r="E13" s="15">
        <v>28.94</v>
      </c>
      <c r="F13" s="15">
        <v>28.42</v>
      </c>
      <c r="G13" s="20"/>
      <c r="J13" s="9"/>
      <c r="K13" s="9"/>
      <c r="L13" s="9"/>
      <c r="M13" s="23"/>
    </row>
    <row r="14" spans="1:13" x14ac:dyDescent="0.25">
      <c r="A14" s="11">
        <v>44635</v>
      </c>
      <c r="B14" s="12">
        <v>44500</v>
      </c>
      <c r="C14" s="27">
        <f t="shared" si="1"/>
        <v>3.8632502477558813E-4</v>
      </c>
      <c r="D14" s="13">
        <v>28.0047</v>
      </c>
      <c r="E14" s="13"/>
      <c r="F14" s="13"/>
      <c r="G14" s="12">
        <f>B14*D14</f>
        <v>1246209.1499999999</v>
      </c>
      <c r="J14" s="9"/>
      <c r="K14" s="9"/>
      <c r="L14" s="9"/>
      <c r="M14" s="23"/>
    </row>
    <row r="15" spans="1:13" x14ac:dyDescent="0.25">
      <c r="A15" s="5" t="s">
        <v>5</v>
      </c>
      <c r="B15" s="7">
        <v>34089</v>
      </c>
      <c r="C15" s="27">
        <f t="shared" si="1"/>
        <v>2.9594233190056231E-4</v>
      </c>
      <c r="D15" s="14">
        <v>27.999199999999998</v>
      </c>
      <c r="E15" s="14">
        <v>28.2</v>
      </c>
      <c r="F15" s="14">
        <v>27.74</v>
      </c>
      <c r="G15" s="19"/>
      <c r="J15" s="9"/>
      <c r="K15" s="9"/>
      <c r="L15" s="9"/>
      <c r="M15" s="23"/>
    </row>
    <row r="16" spans="1:13" x14ac:dyDescent="0.25">
      <c r="A16" s="6" t="s">
        <v>6</v>
      </c>
      <c r="B16" s="26">
        <v>10411</v>
      </c>
      <c r="C16" s="28">
        <f t="shared" si="1"/>
        <v>9.0382692875025803E-5</v>
      </c>
      <c r="D16" s="15">
        <f>((28.0337*1931)+(28.0058*6340)+(28.0627*2140))/B16</f>
        <v>28.02267070406301</v>
      </c>
      <c r="E16" s="15">
        <v>28.12</v>
      </c>
      <c r="F16" s="15">
        <v>27.82</v>
      </c>
      <c r="G16" s="20"/>
      <c r="J16" s="9"/>
      <c r="K16" s="9"/>
      <c r="L16" s="9"/>
      <c r="M16" s="23"/>
    </row>
    <row r="17" spans="1:13" x14ac:dyDescent="0.25">
      <c r="A17" s="11">
        <v>44636</v>
      </c>
      <c r="B17" s="12">
        <v>44500</v>
      </c>
      <c r="C17" s="27">
        <f t="shared" si="1"/>
        <v>3.8632502477558813E-4</v>
      </c>
      <c r="D17" s="13">
        <v>28.629300000000001</v>
      </c>
      <c r="E17" s="13"/>
      <c r="F17" s="13"/>
      <c r="G17" s="12">
        <f>B17*D17</f>
        <v>1274003.8500000001</v>
      </c>
      <c r="J17" s="9"/>
      <c r="K17" s="9"/>
      <c r="L17" s="9"/>
      <c r="M17" s="23"/>
    </row>
    <row r="18" spans="1:13" x14ac:dyDescent="0.25">
      <c r="A18" s="5" t="s">
        <v>5</v>
      </c>
      <c r="B18" s="7">
        <v>39226</v>
      </c>
      <c r="C18" s="27">
        <f t="shared" si="1"/>
        <v>3.4053899824375777E-4</v>
      </c>
      <c r="D18" s="14">
        <v>28.6175</v>
      </c>
      <c r="E18" s="14">
        <v>29.08</v>
      </c>
      <c r="F18" s="14">
        <v>28</v>
      </c>
      <c r="G18" s="19"/>
      <c r="J18" s="9"/>
      <c r="K18" s="9"/>
      <c r="L18" s="9"/>
      <c r="M18" s="23"/>
    </row>
    <row r="19" spans="1:13" x14ac:dyDescent="0.25">
      <c r="A19" s="6" t="s">
        <v>6</v>
      </c>
      <c r="B19" s="26">
        <v>5274</v>
      </c>
      <c r="C19" s="28">
        <f t="shared" si="1"/>
        <v>4.5786026531830381E-5</v>
      </c>
      <c r="D19" s="15">
        <f>((28.6345*1829)+(28.7601*3412)+(28.76*33))/B19</f>
        <v>28.7165418467956</v>
      </c>
      <c r="E19" s="15">
        <v>29.08</v>
      </c>
      <c r="F19" s="15">
        <v>28.08</v>
      </c>
      <c r="G19" s="20"/>
      <c r="J19" s="9"/>
      <c r="K19" s="9"/>
      <c r="L19" s="9"/>
      <c r="M19" s="23"/>
    </row>
    <row r="20" spans="1:13" x14ac:dyDescent="0.25">
      <c r="A20" s="11">
        <v>44637</v>
      </c>
      <c r="B20" s="12">
        <v>44000</v>
      </c>
      <c r="C20" s="27">
        <f t="shared" si="1"/>
        <v>3.8198429416013211E-4</v>
      </c>
      <c r="D20" s="13">
        <v>28.952999999999999</v>
      </c>
      <c r="E20" s="13"/>
      <c r="F20" s="13"/>
      <c r="G20" s="12">
        <f>B20*D20</f>
        <v>1273932</v>
      </c>
      <c r="J20" s="9"/>
      <c r="K20" s="9"/>
      <c r="L20" s="9"/>
      <c r="M20" s="23"/>
    </row>
    <row r="21" spans="1:13" x14ac:dyDescent="0.25">
      <c r="A21" s="5" t="s">
        <v>5</v>
      </c>
      <c r="B21" s="7">
        <v>32363</v>
      </c>
      <c r="C21" s="27">
        <f t="shared" si="1"/>
        <v>2.8095812981600808E-4</v>
      </c>
      <c r="D21" s="14">
        <v>28.967099999999999</v>
      </c>
      <c r="E21" s="14">
        <v>29.34</v>
      </c>
      <c r="F21" s="14">
        <v>28.74</v>
      </c>
      <c r="G21" s="19"/>
      <c r="J21" s="9"/>
      <c r="K21" s="9"/>
      <c r="L21" s="9"/>
      <c r="M21" s="23"/>
    </row>
    <row r="22" spans="1:13" x14ac:dyDescent="0.25">
      <c r="A22" s="6" t="s">
        <v>6</v>
      </c>
      <c r="B22" s="26">
        <v>11637</v>
      </c>
      <c r="C22" s="28">
        <f t="shared" si="1"/>
        <v>1.0102616434412402E-4</v>
      </c>
      <c r="D22" s="15">
        <f>((28.8803*1704)+(28.9188*8868)+(1065*28.9242))/B22</f>
        <v>28.913656664088681</v>
      </c>
      <c r="E22" s="15">
        <v>29.04</v>
      </c>
      <c r="F22" s="15">
        <v>28.84</v>
      </c>
      <c r="G22" s="20"/>
      <c r="J22" s="9"/>
      <c r="K22" s="9"/>
      <c r="L22" s="9"/>
      <c r="M22" s="23"/>
    </row>
    <row r="23" spans="1:13" x14ac:dyDescent="0.25">
      <c r="A23" s="11">
        <v>44638</v>
      </c>
      <c r="B23" s="12">
        <v>44500</v>
      </c>
      <c r="C23" s="27">
        <f t="shared" si="1"/>
        <v>3.8632502477558813E-4</v>
      </c>
      <c r="D23" s="13">
        <v>28.854700000000001</v>
      </c>
      <c r="E23" s="13"/>
      <c r="F23" s="13"/>
      <c r="G23" s="12">
        <f>B23*D23</f>
        <v>1284034.1500000001</v>
      </c>
      <c r="J23" s="9"/>
      <c r="K23" s="9"/>
      <c r="L23" s="9"/>
      <c r="M23" s="23"/>
    </row>
    <row r="24" spans="1:13" x14ac:dyDescent="0.25">
      <c r="A24" s="5" t="s">
        <v>5</v>
      </c>
      <c r="B24" s="7">
        <v>30795</v>
      </c>
      <c r="C24" s="27">
        <f t="shared" si="1"/>
        <v>2.6734559860593793E-4</v>
      </c>
      <c r="D24" s="14">
        <v>28.835899999999999</v>
      </c>
      <c r="E24" s="14">
        <v>29.1</v>
      </c>
      <c r="F24" s="14">
        <v>28.54</v>
      </c>
      <c r="G24" s="19"/>
      <c r="J24" s="9"/>
      <c r="K24" s="9"/>
      <c r="L24" s="9"/>
      <c r="M24" s="23"/>
    </row>
    <row r="25" spans="1:13" x14ac:dyDescent="0.25">
      <c r="A25" s="6" t="s">
        <v>6</v>
      </c>
      <c r="B25" s="26">
        <f>774+8108+4823</f>
        <v>13705</v>
      </c>
      <c r="C25" s="28">
        <f t="shared" si="1"/>
        <v>1.1897942616965023E-4</v>
      </c>
      <c r="D25" s="15">
        <f>((28.8862*4823)+(28.9024*8108)+(28.9056*774))/B25</f>
        <v>28.896879693542505</v>
      </c>
      <c r="E25" s="15">
        <v>29.14</v>
      </c>
      <c r="F25" s="15">
        <v>28.62</v>
      </c>
      <c r="G25" s="20"/>
      <c r="J25" s="9"/>
      <c r="K25" s="9"/>
      <c r="L25" s="9"/>
      <c r="M25" s="23"/>
    </row>
    <row r="26" spans="1:13" x14ac:dyDescent="0.25">
      <c r="A26" s="11">
        <v>44641</v>
      </c>
      <c r="B26" s="12">
        <v>44500</v>
      </c>
      <c r="C26" s="27">
        <f t="shared" si="1"/>
        <v>3.8632502477558813E-4</v>
      </c>
      <c r="D26" s="13">
        <v>28.898700000000002</v>
      </c>
      <c r="E26" s="13"/>
      <c r="F26" s="13"/>
      <c r="G26" s="12">
        <f>B26*D26</f>
        <v>1285992.1500000001</v>
      </c>
      <c r="J26" s="9"/>
      <c r="K26" s="9"/>
      <c r="L26" s="9"/>
      <c r="M26" s="23"/>
    </row>
    <row r="27" spans="1:13" x14ac:dyDescent="0.25">
      <c r="A27" s="5" t="s">
        <v>5</v>
      </c>
      <c r="B27" s="7">
        <v>25584</v>
      </c>
      <c r="C27" s="27">
        <f t="shared" si="1"/>
        <v>2.2210650413165498E-4</v>
      </c>
      <c r="D27" s="14">
        <v>28.898399999999999</v>
      </c>
      <c r="E27" s="14">
        <v>29.2</v>
      </c>
      <c r="F27" s="14">
        <v>28.72</v>
      </c>
      <c r="G27" s="19"/>
      <c r="J27" s="9"/>
      <c r="K27" s="9"/>
      <c r="L27" s="9"/>
      <c r="M27" s="23"/>
    </row>
    <row r="28" spans="1:13" x14ac:dyDescent="0.25">
      <c r="A28" s="6" t="s">
        <v>6</v>
      </c>
      <c r="B28" s="26">
        <v>18916</v>
      </c>
      <c r="C28" s="28">
        <f t="shared" si="1"/>
        <v>1.6421852064393315E-4</v>
      </c>
      <c r="D28" s="15">
        <f>((28.9514*4905)+(28.8866*11785)+(28.8493*2226))/B28</f>
        <v>28.899013522943537</v>
      </c>
      <c r="E28" s="15">
        <v>29.22</v>
      </c>
      <c r="F28" s="15">
        <v>28.74</v>
      </c>
      <c r="G28" s="20"/>
      <c r="J28" s="9"/>
      <c r="K28" s="9"/>
      <c r="L28" s="9"/>
      <c r="M28" s="23"/>
    </row>
    <row r="29" spans="1:13" x14ac:dyDescent="0.25">
      <c r="A29" s="11">
        <v>44642</v>
      </c>
      <c r="B29" s="12">
        <v>44500</v>
      </c>
      <c r="C29" s="27">
        <f t="shared" si="1"/>
        <v>3.8632502477558813E-4</v>
      </c>
      <c r="D29" s="13">
        <v>28.834399999999999</v>
      </c>
      <c r="E29" s="13"/>
      <c r="F29" s="13"/>
      <c r="G29" s="12">
        <f>B29*D29</f>
        <v>1283130.8</v>
      </c>
      <c r="J29" s="9"/>
      <c r="K29" s="9"/>
      <c r="L29" s="9"/>
      <c r="M29" s="23"/>
    </row>
    <row r="30" spans="1:13" x14ac:dyDescent="0.25">
      <c r="A30" s="5" t="s">
        <v>5</v>
      </c>
      <c r="B30" s="7">
        <v>25741</v>
      </c>
      <c r="C30" s="27">
        <f t="shared" si="1"/>
        <v>2.2346949354490819E-4</v>
      </c>
      <c r="D30" s="14">
        <v>28.821000000000002</v>
      </c>
      <c r="E30" s="14">
        <v>29.08</v>
      </c>
      <c r="F30" s="14">
        <v>28.6</v>
      </c>
      <c r="G30" s="19"/>
      <c r="J30" s="9"/>
      <c r="K30" s="9"/>
      <c r="L30" s="9"/>
      <c r="M30" s="23"/>
    </row>
    <row r="31" spans="1:13" x14ac:dyDescent="0.25">
      <c r="A31" s="6" t="s">
        <v>6</v>
      </c>
      <c r="B31" s="26">
        <v>18759</v>
      </c>
      <c r="C31" s="28">
        <f t="shared" si="1"/>
        <v>1.6285553123067994E-4</v>
      </c>
      <c r="D31" s="15">
        <f>((28.8775*5936)+(28.8438*9197)+(28.8353*3626))/B31</f>
        <v>28.852820853990092</v>
      </c>
      <c r="E31" s="15">
        <v>29.1</v>
      </c>
      <c r="F31" s="15">
        <v>28.66</v>
      </c>
      <c r="G31" s="20"/>
      <c r="J31" s="9"/>
      <c r="K31" s="9"/>
      <c r="L31" s="9"/>
      <c r="M31" s="23"/>
    </row>
    <row r="32" spans="1:13" x14ac:dyDescent="0.25">
      <c r="A32" s="11">
        <v>44643</v>
      </c>
      <c r="B32" s="12">
        <v>44500</v>
      </c>
      <c r="C32" s="27">
        <f t="shared" si="1"/>
        <v>3.8632502477558813E-4</v>
      </c>
      <c r="D32" s="13">
        <v>28.577500000000001</v>
      </c>
      <c r="E32" s="13"/>
      <c r="F32" s="13"/>
      <c r="G32" s="12">
        <f>B32*D32</f>
        <v>1271698.75</v>
      </c>
      <c r="J32" s="9"/>
      <c r="K32" s="9"/>
      <c r="L32" s="9"/>
      <c r="M32" s="23"/>
    </row>
    <row r="33" spans="1:13" x14ac:dyDescent="0.25">
      <c r="A33" s="5" t="s">
        <v>5</v>
      </c>
      <c r="B33" s="7">
        <v>30194</v>
      </c>
      <c r="C33" s="27">
        <f t="shared" si="1"/>
        <v>2.6212804040615974E-4</v>
      </c>
      <c r="D33" s="14">
        <v>28.569900000000001</v>
      </c>
      <c r="E33" s="14">
        <v>28.88</v>
      </c>
      <c r="F33" s="14">
        <v>28.38</v>
      </c>
      <c r="G33" s="19"/>
      <c r="J33" s="9"/>
      <c r="K33" s="9"/>
      <c r="L33" s="9"/>
      <c r="M33" s="23"/>
    </row>
    <row r="34" spans="1:13" x14ac:dyDescent="0.25">
      <c r="A34" s="6" t="s">
        <v>6</v>
      </c>
      <c r="B34" s="26">
        <v>14306</v>
      </c>
      <c r="C34" s="28">
        <f t="shared" si="1"/>
        <v>1.2419698436942839E-4</v>
      </c>
      <c r="D34" s="15">
        <f>((28.6209*1888)+(28.5694*10568)+(28.704*1850))/B34</f>
        <v>28.593602572347265</v>
      </c>
      <c r="E34" s="15">
        <v>28.92</v>
      </c>
      <c r="F34" s="15">
        <v>28.44</v>
      </c>
      <c r="G34" s="20"/>
      <c r="J34" s="9"/>
      <c r="K34" s="9"/>
      <c r="L34" s="9"/>
      <c r="M34" s="23"/>
    </row>
    <row r="35" spans="1:13" x14ac:dyDescent="0.25">
      <c r="A35" s="11">
        <v>44644</v>
      </c>
      <c r="B35" s="12">
        <v>84000</v>
      </c>
      <c r="C35" s="27">
        <f t="shared" si="1"/>
        <v>7.2924274339661581E-4</v>
      </c>
      <c r="D35" s="13">
        <v>28.075600000000001</v>
      </c>
      <c r="E35" s="13"/>
      <c r="F35" s="13"/>
      <c r="G35" s="12">
        <f>B35*D35</f>
        <v>2358350.4</v>
      </c>
      <c r="J35" s="9"/>
      <c r="K35" s="9"/>
      <c r="L35" s="9"/>
      <c r="M35" s="23"/>
    </row>
    <row r="36" spans="1:13" x14ac:dyDescent="0.25">
      <c r="A36" s="5" t="s">
        <v>5</v>
      </c>
      <c r="B36" s="7">
        <v>53050</v>
      </c>
      <c r="C36" s="27">
        <f t="shared" si="1"/>
        <v>4.6055151829988653E-4</v>
      </c>
      <c r="D36" s="14">
        <v>28.098400000000002</v>
      </c>
      <c r="E36" s="14">
        <v>28.64</v>
      </c>
      <c r="F36" s="14">
        <v>27.58</v>
      </c>
      <c r="G36" s="19"/>
      <c r="J36" s="9"/>
      <c r="K36" s="9"/>
      <c r="L36" s="9"/>
      <c r="M36" s="23"/>
    </row>
    <row r="37" spans="1:13" x14ac:dyDescent="0.25">
      <c r="A37" s="6" t="s">
        <v>6</v>
      </c>
      <c r="B37" s="26">
        <v>30950</v>
      </c>
      <c r="C37" s="28">
        <f t="shared" si="1"/>
        <v>2.6869122509672928E-4</v>
      </c>
      <c r="D37" s="15">
        <f>((28.0009*5035)+(28.0235*21922)+(28.1529*3993))/B37</f>
        <v>28.036517873990306</v>
      </c>
      <c r="E37" s="15">
        <v>28.34</v>
      </c>
      <c r="F37" s="15">
        <v>27.64</v>
      </c>
      <c r="G37" s="20"/>
      <c r="J37" s="9"/>
      <c r="K37" s="9"/>
      <c r="L37" s="9"/>
      <c r="M37" s="23"/>
    </row>
    <row r="38" spans="1:13" x14ac:dyDescent="0.25">
      <c r="A38" s="11">
        <v>44645</v>
      </c>
      <c r="B38" s="12">
        <v>100000</v>
      </c>
      <c r="C38" s="27">
        <f t="shared" si="1"/>
        <v>8.681461230912093E-4</v>
      </c>
      <c r="D38" s="13">
        <v>27.6069</v>
      </c>
      <c r="E38" s="13"/>
      <c r="F38" s="13"/>
      <c r="G38" s="12">
        <f>B38*D38</f>
        <v>2760690</v>
      </c>
      <c r="J38" s="9"/>
      <c r="K38" s="9"/>
      <c r="L38" s="9"/>
      <c r="M38" s="23"/>
    </row>
    <row r="39" spans="1:13" x14ac:dyDescent="0.25">
      <c r="A39" s="5" t="s">
        <v>5</v>
      </c>
      <c r="B39" s="7">
        <v>51832</v>
      </c>
      <c r="C39" s="27">
        <f t="shared" si="1"/>
        <v>4.4997749852063558E-4</v>
      </c>
      <c r="D39" s="14">
        <v>27.6097</v>
      </c>
      <c r="E39" s="14">
        <v>27.84</v>
      </c>
      <c r="F39" s="14">
        <v>27.44</v>
      </c>
      <c r="G39" s="19"/>
      <c r="J39" s="9"/>
      <c r="K39" s="9"/>
      <c r="L39" s="9"/>
      <c r="M39" s="23"/>
    </row>
    <row r="40" spans="1:13" x14ac:dyDescent="0.25">
      <c r="A40" s="6" t="s">
        <v>6</v>
      </c>
      <c r="B40" s="26">
        <v>48168</v>
      </c>
      <c r="C40" s="28">
        <f t="shared" si="1"/>
        <v>4.1816862457057371E-4</v>
      </c>
      <c r="D40" s="15">
        <f>((27.634*7868)+(27.5943*34998)+(27.6225*5302))/B40</f>
        <v>27.603888855671816</v>
      </c>
      <c r="E40" s="15">
        <v>27.84</v>
      </c>
      <c r="F40" s="15">
        <v>27.44</v>
      </c>
      <c r="G40" s="20"/>
      <c r="J40" s="9"/>
      <c r="K40" s="9"/>
      <c r="L40" s="9"/>
      <c r="M40" s="23"/>
    </row>
    <row r="41" spans="1:13" x14ac:dyDescent="0.25">
      <c r="A41" s="11">
        <v>44648</v>
      </c>
      <c r="B41" s="12">
        <v>100000</v>
      </c>
      <c r="C41" s="27">
        <f t="shared" si="1"/>
        <v>8.681461230912093E-4</v>
      </c>
      <c r="D41" s="13">
        <v>27.438800000000001</v>
      </c>
      <c r="E41" s="13"/>
      <c r="F41" s="13"/>
      <c r="G41" s="12">
        <f>B41*D41</f>
        <v>2743880</v>
      </c>
      <c r="J41" s="9"/>
      <c r="K41" s="9"/>
      <c r="L41" s="9"/>
      <c r="M41" s="23"/>
    </row>
    <row r="42" spans="1:13" x14ac:dyDescent="0.25">
      <c r="A42" s="5" t="s">
        <v>5</v>
      </c>
      <c r="B42" s="7">
        <v>51955</v>
      </c>
      <c r="C42" s="27">
        <f t="shared" si="1"/>
        <v>4.510453182520378E-4</v>
      </c>
      <c r="D42" s="14">
        <v>27.446300000000001</v>
      </c>
      <c r="E42" s="14">
        <v>27.64</v>
      </c>
      <c r="F42" s="14">
        <v>27.26</v>
      </c>
      <c r="G42" s="19"/>
      <c r="J42" s="9"/>
      <c r="K42" s="9"/>
      <c r="L42" s="9"/>
      <c r="M42" s="23"/>
    </row>
    <row r="43" spans="1:13" x14ac:dyDescent="0.25">
      <c r="A43" s="6" t="s">
        <v>6</v>
      </c>
      <c r="B43" s="26">
        <v>48045</v>
      </c>
      <c r="C43" s="28">
        <f t="shared" si="1"/>
        <v>4.1710080483917149E-4</v>
      </c>
      <c r="D43" s="15">
        <f>((27.431*7951)+(27.409*34495)+(27.5633*5599))/B43</f>
        <v>27.430622389426574</v>
      </c>
      <c r="E43" s="15">
        <v>27.6</v>
      </c>
      <c r="F43" s="15">
        <v>27.26</v>
      </c>
      <c r="G43" s="20"/>
      <c r="J43" s="9"/>
      <c r="K43" s="9"/>
      <c r="L43" s="9"/>
      <c r="M43" s="23"/>
    </row>
    <row r="44" spans="1:13" x14ac:dyDescent="0.25">
      <c r="A44" s="11">
        <v>44649</v>
      </c>
      <c r="B44" s="12">
        <v>70346</v>
      </c>
      <c r="C44" s="27">
        <f t="shared" ref="C44:C107" si="2">B44/$M$4</f>
        <v>6.1070607174974214E-4</v>
      </c>
      <c r="D44" s="13">
        <v>27.839400000000001</v>
      </c>
      <c r="E44" s="13"/>
      <c r="F44" s="13"/>
      <c r="G44" s="12">
        <f>B44*D44</f>
        <v>1958390.4324</v>
      </c>
      <c r="J44" s="9"/>
      <c r="K44" s="9"/>
      <c r="L44" s="9"/>
      <c r="M44" s="23"/>
    </row>
    <row r="45" spans="1:13" x14ac:dyDescent="0.25">
      <c r="A45" s="5" t="s">
        <v>5</v>
      </c>
      <c r="B45" s="7">
        <v>41864</v>
      </c>
      <c r="C45" s="27">
        <f t="shared" si="2"/>
        <v>3.6344069297090383E-4</v>
      </c>
      <c r="D45" s="14">
        <v>27.8538</v>
      </c>
      <c r="E45" s="14">
        <v>28.54</v>
      </c>
      <c r="F45" s="14">
        <v>27.38</v>
      </c>
      <c r="G45" s="19"/>
      <c r="J45" s="9"/>
      <c r="K45" s="9"/>
      <c r="L45" s="9"/>
      <c r="M45" s="23"/>
    </row>
    <row r="46" spans="1:13" x14ac:dyDescent="0.25">
      <c r="A46" s="6" t="s">
        <v>6</v>
      </c>
      <c r="B46" s="26">
        <v>28482</v>
      </c>
      <c r="C46" s="28">
        <f t="shared" si="2"/>
        <v>2.4726537877883825E-4</v>
      </c>
      <c r="D46" s="15">
        <f>((27.7498*2964)+(27.879*20107)+(27.6303*5411))/B46</f>
        <v>27.818306772698552</v>
      </c>
      <c r="E46" s="15">
        <v>28.54</v>
      </c>
      <c r="F46" s="15">
        <v>27.46</v>
      </c>
      <c r="G46" s="20"/>
      <c r="J46" s="9"/>
      <c r="K46" s="9"/>
      <c r="L46" s="9"/>
      <c r="M46" s="23"/>
    </row>
    <row r="47" spans="1:13" x14ac:dyDescent="0.25">
      <c r="A47" s="11">
        <v>44650</v>
      </c>
      <c r="B47" s="12">
        <v>96000</v>
      </c>
      <c r="C47" s="27">
        <f t="shared" si="2"/>
        <v>8.334202781675609E-4</v>
      </c>
      <c r="D47" s="13">
        <v>27.739699999999999</v>
      </c>
      <c r="E47" s="13"/>
      <c r="F47" s="13"/>
      <c r="G47" s="12">
        <f>B47*D47</f>
        <v>2663011.1999999997</v>
      </c>
      <c r="J47" s="9"/>
      <c r="K47" s="9"/>
      <c r="L47" s="9"/>
      <c r="M47" s="23"/>
    </row>
    <row r="48" spans="1:13" x14ac:dyDescent="0.25">
      <c r="A48" s="5" t="s">
        <v>5</v>
      </c>
      <c r="B48" s="7">
        <v>59133</v>
      </c>
      <c r="C48" s="27">
        <f t="shared" si="2"/>
        <v>5.1336084696752479E-4</v>
      </c>
      <c r="D48" s="14">
        <v>27.747699999999998</v>
      </c>
      <c r="E48" s="14">
        <v>28.42</v>
      </c>
      <c r="F48" s="14">
        <v>27.48</v>
      </c>
      <c r="G48" s="19"/>
      <c r="J48" s="9"/>
      <c r="K48" s="9"/>
      <c r="L48" s="9"/>
      <c r="M48" s="23"/>
    </row>
    <row r="49" spans="1:13" x14ac:dyDescent="0.25">
      <c r="A49" s="6" t="s">
        <v>6</v>
      </c>
      <c r="B49" s="26">
        <v>36867</v>
      </c>
      <c r="C49" s="28">
        <f t="shared" si="2"/>
        <v>3.2005943120003611E-4</v>
      </c>
      <c r="D49" s="15">
        <f>((27.7424*8340)+(27.7084*23058)+(27.7817*5469))/B49</f>
        <v>27.726965050044758</v>
      </c>
      <c r="E49" s="15">
        <v>28.26</v>
      </c>
      <c r="F49" s="15">
        <v>27.52</v>
      </c>
      <c r="G49" s="20"/>
      <c r="J49" s="9"/>
      <c r="K49" s="9"/>
      <c r="L49" s="9"/>
      <c r="M49" s="23"/>
    </row>
    <row r="50" spans="1:13" x14ac:dyDescent="0.25">
      <c r="A50" s="11">
        <v>44651</v>
      </c>
      <c r="B50" s="12">
        <v>75000</v>
      </c>
      <c r="C50" s="27">
        <f t="shared" si="2"/>
        <v>6.5110959231840697E-4</v>
      </c>
      <c r="D50" s="13">
        <v>27.832699999999999</v>
      </c>
      <c r="E50" s="13"/>
      <c r="F50" s="13"/>
      <c r="G50" s="12">
        <f>B50*D50</f>
        <v>2087452.5</v>
      </c>
      <c r="J50" s="9"/>
      <c r="K50" s="9"/>
      <c r="L50" s="9"/>
      <c r="M50" s="23"/>
    </row>
    <row r="51" spans="1:13" x14ac:dyDescent="0.25">
      <c r="A51" s="5" t="s">
        <v>5</v>
      </c>
      <c r="B51" s="7">
        <v>41537</v>
      </c>
      <c r="C51" s="27">
        <f t="shared" si="2"/>
        <v>3.6060185514839562E-4</v>
      </c>
      <c r="D51" s="14">
        <v>27.884899999999998</v>
      </c>
      <c r="E51" s="14">
        <v>28.34</v>
      </c>
      <c r="F51" s="14">
        <v>27.5</v>
      </c>
      <c r="G51" s="19"/>
      <c r="J51" s="9"/>
      <c r="K51" s="9"/>
      <c r="L51" s="9"/>
      <c r="M51" s="23"/>
    </row>
    <row r="52" spans="1:13" x14ac:dyDescent="0.25">
      <c r="A52" s="6" t="s">
        <v>6</v>
      </c>
      <c r="B52" s="26">
        <v>33463</v>
      </c>
      <c r="C52" s="28">
        <f t="shared" si="2"/>
        <v>2.9050773717001136E-4</v>
      </c>
      <c r="D52" s="15">
        <f>((27.7947*7911)+(27.761*20573)+(27.7536*4979))/B52</f>
        <v>27.76786597435974</v>
      </c>
      <c r="E52" s="15">
        <v>28.28</v>
      </c>
      <c r="F52" s="15">
        <v>27.54</v>
      </c>
      <c r="G52" s="20"/>
      <c r="J52" s="9"/>
      <c r="K52" s="9"/>
      <c r="L52" s="9"/>
      <c r="M52" s="23"/>
    </row>
    <row r="53" spans="1:13" x14ac:dyDescent="0.25">
      <c r="A53" s="11">
        <v>44652</v>
      </c>
      <c r="B53" s="12">
        <v>100000</v>
      </c>
      <c r="C53" s="27">
        <f t="shared" si="2"/>
        <v>8.681461230912093E-4</v>
      </c>
      <c r="D53" s="13">
        <v>27.528300000000002</v>
      </c>
      <c r="E53" s="13"/>
      <c r="F53" s="13"/>
      <c r="G53" s="12">
        <f>B53*D53</f>
        <v>2752830</v>
      </c>
      <c r="J53" s="9"/>
      <c r="K53" s="9"/>
      <c r="L53" s="9"/>
      <c r="M53" s="23"/>
    </row>
    <row r="54" spans="1:13" x14ac:dyDescent="0.25">
      <c r="A54" s="5" t="s">
        <v>5</v>
      </c>
      <c r="B54" s="7">
        <v>63884</v>
      </c>
      <c r="C54" s="27">
        <f t="shared" si="2"/>
        <v>5.5460646927558814E-4</v>
      </c>
      <c r="D54" s="14">
        <v>27.518999999999998</v>
      </c>
      <c r="E54" s="14">
        <v>27.7</v>
      </c>
      <c r="F54" s="14">
        <v>27.16</v>
      </c>
      <c r="G54" s="19"/>
      <c r="J54" s="9"/>
      <c r="K54" s="9"/>
      <c r="L54" s="9"/>
      <c r="M54" s="23"/>
    </row>
    <row r="55" spans="1:13" x14ac:dyDescent="0.25">
      <c r="A55" s="6" t="s">
        <v>6</v>
      </c>
      <c r="B55" s="26">
        <v>36116</v>
      </c>
      <c r="C55" s="28">
        <f t="shared" si="2"/>
        <v>3.1353965381562116E-4</v>
      </c>
      <c r="D55" s="15">
        <f>((27.557*7240)+(27.5641*23672)+(27.4396*5204))/B55</f>
        <v>27.544737335253075</v>
      </c>
      <c r="E55" s="15">
        <v>27.68</v>
      </c>
      <c r="F55" s="15">
        <v>27.28</v>
      </c>
      <c r="G55" s="20"/>
      <c r="J55" s="9"/>
      <c r="K55" s="9"/>
      <c r="L55" s="9"/>
      <c r="M55" s="23"/>
    </row>
    <row r="56" spans="1:13" x14ac:dyDescent="0.25">
      <c r="A56" s="11">
        <v>44655</v>
      </c>
      <c r="B56" s="12">
        <v>100000</v>
      </c>
      <c r="C56" s="27">
        <f t="shared" si="2"/>
        <v>8.681461230912093E-4</v>
      </c>
      <c r="D56" s="13">
        <v>27.279299999999999</v>
      </c>
      <c r="E56" s="13"/>
      <c r="F56" s="13"/>
      <c r="G56" s="12">
        <f>B56*D56</f>
        <v>2727930</v>
      </c>
      <c r="J56" s="9"/>
      <c r="K56" s="9"/>
      <c r="L56" s="9"/>
      <c r="M56" s="23"/>
    </row>
    <row r="57" spans="1:13" x14ac:dyDescent="0.25">
      <c r="A57" s="5" t="s">
        <v>5</v>
      </c>
      <c r="B57" s="7">
        <v>57019</v>
      </c>
      <c r="C57" s="27">
        <f t="shared" si="2"/>
        <v>4.9500823792537657E-4</v>
      </c>
      <c r="D57" s="14">
        <v>27.247</v>
      </c>
      <c r="E57" s="14">
        <v>27.54</v>
      </c>
      <c r="F57" s="14">
        <v>27.12</v>
      </c>
      <c r="G57" s="19"/>
      <c r="J57" s="9"/>
      <c r="K57" s="9"/>
      <c r="L57" s="9"/>
      <c r="M57" s="23"/>
    </row>
    <row r="58" spans="1:13" x14ac:dyDescent="0.25">
      <c r="A58" s="6" t="s">
        <v>6</v>
      </c>
      <c r="B58" s="26">
        <v>42981</v>
      </c>
      <c r="C58" s="28">
        <f t="shared" si="2"/>
        <v>3.7313788516583267E-4</v>
      </c>
      <c r="D58" s="15">
        <f>((27.352*7779)+(27.325*30274)+(27.2589*4928))/B58</f>
        <v>27.322307931411554</v>
      </c>
      <c r="E58" s="15">
        <v>27.58</v>
      </c>
      <c r="F58" s="15">
        <v>27.12</v>
      </c>
      <c r="G58" s="20"/>
      <c r="J58" s="9"/>
      <c r="K58" s="9"/>
      <c r="L58" s="9"/>
      <c r="M58" s="23"/>
    </row>
    <row r="59" spans="1:13" x14ac:dyDescent="0.25">
      <c r="A59" s="11">
        <v>44656</v>
      </c>
      <c r="B59" s="12">
        <v>100000</v>
      </c>
      <c r="C59" s="27">
        <f t="shared" si="2"/>
        <v>8.681461230912093E-4</v>
      </c>
      <c r="D59" s="13">
        <v>26.770499999999998</v>
      </c>
      <c r="E59" s="13"/>
      <c r="F59" s="13"/>
      <c r="G59" s="12">
        <f>B59*D59</f>
        <v>2677050</v>
      </c>
      <c r="J59" s="9"/>
      <c r="K59" s="9"/>
      <c r="L59" s="9"/>
      <c r="M59" s="23"/>
    </row>
    <row r="60" spans="1:13" x14ac:dyDescent="0.25">
      <c r="A60" s="5" t="s">
        <v>5</v>
      </c>
      <c r="B60" s="7">
        <v>66333</v>
      </c>
      <c r="C60" s="27">
        <f t="shared" si="2"/>
        <v>5.7586736783009189E-4</v>
      </c>
      <c r="D60" s="14">
        <v>26.7835</v>
      </c>
      <c r="E60" s="14">
        <v>27.48</v>
      </c>
      <c r="F60" s="14">
        <v>26.04</v>
      </c>
      <c r="G60" s="19"/>
      <c r="J60" s="9"/>
      <c r="K60" s="9"/>
      <c r="L60" s="9"/>
      <c r="M60" s="23"/>
    </row>
    <row r="61" spans="1:13" x14ac:dyDescent="0.25">
      <c r="A61" s="6" t="s">
        <v>6</v>
      </c>
      <c r="B61" s="26">
        <v>33667</v>
      </c>
      <c r="C61" s="28">
        <f t="shared" si="2"/>
        <v>2.9227875526111741E-4</v>
      </c>
      <c r="D61" s="15">
        <f>((7393*26.9506)+(21686*26.6242)+(26.9845*4588))/B61</f>
        <v>26.744974990346627</v>
      </c>
      <c r="E61" s="15">
        <v>27.24</v>
      </c>
      <c r="F61" s="15">
        <v>26.1</v>
      </c>
      <c r="G61" s="20"/>
      <c r="J61" s="9"/>
      <c r="K61" s="9"/>
      <c r="L61" s="9"/>
      <c r="M61" s="23"/>
    </row>
    <row r="62" spans="1:13" x14ac:dyDescent="0.25">
      <c r="A62" s="11">
        <v>44657</v>
      </c>
      <c r="B62" s="12">
        <v>139000</v>
      </c>
      <c r="C62" s="27">
        <f t="shared" si="2"/>
        <v>1.2067231110967809E-3</v>
      </c>
      <c r="D62" s="13">
        <v>25.396000000000001</v>
      </c>
      <c r="E62" s="13"/>
      <c r="F62" s="13"/>
      <c r="G62" s="12">
        <f>B62*D62</f>
        <v>3530044</v>
      </c>
      <c r="J62" s="9"/>
      <c r="K62" s="9"/>
      <c r="L62" s="9"/>
      <c r="M62" s="23"/>
    </row>
    <row r="63" spans="1:13" x14ac:dyDescent="0.25">
      <c r="A63" s="5" t="s">
        <v>5</v>
      </c>
      <c r="B63" s="7">
        <v>89630</v>
      </c>
      <c r="C63" s="27">
        <f t="shared" si="2"/>
        <v>7.7811937012665087E-4</v>
      </c>
      <c r="D63" s="14">
        <v>25.4178</v>
      </c>
      <c r="E63" s="14">
        <v>26.22</v>
      </c>
      <c r="F63" s="14">
        <v>25</v>
      </c>
      <c r="G63" s="19"/>
      <c r="J63" s="9"/>
      <c r="K63" s="9"/>
      <c r="L63" s="9"/>
      <c r="M63" s="23"/>
    </row>
    <row r="64" spans="1:13" x14ac:dyDescent="0.25">
      <c r="A64" s="6" t="s">
        <v>6</v>
      </c>
      <c r="B64" s="26">
        <v>49370</v>
      </c>
      <c r="C64" s="28">
        <f t="shared" si="2"/>
        <v>4.2860374097013004E-4</v>
      </c>
      <c r="D64" s="15">
        <f>((25.4818*9702)+(25.2642*35000)+(25.7875*4668))/B64</f>
        <v>25.356440623860646</v>
      </c>
      <c r="E64" s="15">
        <v>26.2</v>
      </c>
      <c r="F64" s="15">
        <v>25</v>
      </c>
      <c r="G64" s="20"/>
      <c r="J64" s="9"/>
      <c r="K64" s="9"/>
      <c r="L64" s="9"/>
      <c r="M64" s="23"/>
    </row>
    <row r="65" spans="1:13" x14ac:dyDescent="0.25">
      <c r="A65" s="11">
        <v>44658</v>
      </c>
      <c r="B65" s="12">
        <v>133500</v>
      </c>
      <c r="C65" s="27">
        <f t="shared" si="2"/>
        <v>1.1589750743267644E-3</v>
      </c>
      <c r="D65" s="13">
        <v>25.157499999999999</v>
      </c>
      <c r="E65" s="13"/>
      <c r="F65" s="13"/>
      <c r="G65" s="12">
        <f>B65*D65</f>
        <v>3358526.25</v>
      </c>
      <c r="J65" s="9"/>
      <c r="K65" s="9"/>
      <c r="L65" s="9"/>
      <c r="M65" s="23"/>
    </row>
    <row r="66" spans="1:13" x14ac:dyDescent="0.25">
      <c r="A66" s="5" t="s">
        <v>5</v>
      </c>
      <c r="B66" s="7">
        <v>88116</v>
      </c>
      <c r="C66" s="27">
        <f t="shared" si="2"/>
        <v>7.6497563782305E-4</v>
      </c>
      <c r="D66" s="14">
        <v>25.1586</v>
      </c>
      <c r="E66" s="14">
        <v>25.44</v>
      </c>
      <c r="F66" s="14">
        <v>24.92</v>
      </c>
      <c r="G66" s="19"/>
      <c r="J66" s="9"/>
      <c r="K66" s="9"/>
      <c r="L66" s="9"/>
      <c r="M66" s="23"/>
    </row>
    <row r="67" spans="1:13" x14ac:dyDescent="0.25">
      <c r="A67" s="6" t="s">
        <v>6</v>
      </c>
      <c r="B67" s="26">
        <v>45384</v>
      </c>
      <c r="C67" s="28">
        <f t="shared" si="2"/>
        <v>3.9399943650371443E-4</v>
      </c>
      <c r="D67" s="15">
        <f>((25.1589*9280)+(25.1556*31990)+(25.1449*4114))/B67</f>
        <v>25.155304834302836</v>
      </c>
      <c r="E67" s="15">
        <v>25.4</v>
      </c>
      <c r="F67" s="15">
        <v>24.9</v>
      </c>
      <c r="G67" s="20"/>
      <c r="J67" s="9"/>
      <c r="K67" s="9"/>
      <c r="L67" s="9"/>
      <c r="M67" s="23"/>
    </row>
    <row r="68" spans="1:13" x14ac:dyDescent="0.25">
      <c r="A68" s="11">
        <v>44659</v>
      </c>
      <c r="B68" s="12">
        <v>135300</v>
      </c>
      <c r="C68" s="27">
        <f t="shared" si="2"/>
        <v>1.1746017045424061E-3</v>
      </c>
      <c r="D68" s="13">
        <v>26.173300000000001</v>
      </c>
      <c r="E68" s="13"/>
      <c r="F68" s="13"/>
      <c r="G68" s="12">
        <f>B68*D68</f>
        <v>3541247.49</v>
      </c>
      <c r="J68" s="9"/>
      <c r="K68" s="9"/>
      <c r="L68" s="9"/>
      <c r="M68" s="23"/>
    </row>
    <row r="69" spans="1:13" x14ac:dyDescent="0.25">
      <c r="A69" s="5" t="s">
        <v>5</v>
      </c>
      <c r="B69" s="7">
        <v>89577</v>
      </c>
      <c r="C69" s="27">
        <f t="shared" si="2"/>
        <v>7.7765925268141257E-4</v>
      </c>
      <c r="D69" s="14">
        <v>26.186599999999999</v>
      </c>
      <c r="E69" s="14">
        <v>26.38</v>
      </c>
      <c r="F69" s="14">
        <v>25.38</v>
      </c>
      <c r="G69" s="19"/>
      <c r="J69" s="9"/>
      <c r="K69" s="9"/>
      <c r="L69" s="9"/>
      <c r="M69" s="23"/>
    </row>
    <row r="70" spans="1:13" x14ac:dyDescent="0.25">
      <c r="A70" s="6" t="s">
        <v>6</v>
      </c>
      <c r="B70" s="26">
        <v>45723</v>
      </c>
      <c r="C70" s="28">
        <f t="shared" si="2"/>
        <v>3.9694245186099362E-4</v>
      </c>
      <c r="D70" s="15">
        <f>((26.1484*9547)+(26.1547*32222)+(26.082*3954))/B70</f>
        <v>26.147097657634014</v>
      </c>
      <c r="E70" s="15">
        <v>26.38</v>
      </c>
      <c r="F70" s="15">
        <v>25.38</v>
      </c>
      <c r="G70" s="20"/>
      <c r="J70" s="9"/>
      <c r="K70" s="9"/>
      <c r="L70" s="9"/>
      <c r="M70" s="23"/>
    </row>
    <row r="71" spans="1:13" x14ac:dyDescent="0.25">
      <c r="A71" s="11">
        <v>44662</v>
      </c>
      <c r="B71" s="12">
        <v>132300</v>
      </c>
      <c r="C71" s="27">
        <f t="shared" si="2"/>
        <v>1.1485573208496699E-3</v>
      </c>
      <c r="D71" s="13">
        <v>26.615600000000001</v>
      </c>
      <c r="E71" s="13"/>
      <c r="F71" s="13"/>
      <c r="G71" s="12">
        <f>B71*D71</f>
        <v>3521243.88</v>
      </c>
      <c r="J71" s="9"/>
      <c r="K71" s="9"/>
      <c r="L71" s="9"/>
      <c r="M71" s="23"/>
    </row>
    <row r="72" spans="1:13" x14ac:dyDescent="0.25">
      <c r="A72" s="5" t="s">
        <v>5</v>
      </c>
      <c r="B72" s="7">
        <v>87649</v>
      </c>
      <c r="C72" s="27">
        <f t="shared" si="2"/>
        <v>7.6092139542821406E-4</v>
      </c>
      <c r="D72" s="14">
        <v>26.6266</v>
      </c>
      <c r="E72" s="14">
        <v>26.96</v>
      </c>
      <c r="F72" s="14">
        <v>26.28</v>
      </c>
      <c r="G72" s="19"/>
      <c r="J72" s="9"/>
      <c r="K72" s="9"/>
      <c r="L72" s="9"/>
      <c r="M72" s="23"/>
    </row>
    <row r="73" spans="1:13" x14ac:dyDescent="0.25">
      <c r="A73" s="6" t="s">
        <v>6</v>
      </c>
      <c r="B73" s="26">
        <v>44651</v>
      </c>
      <c r="C73" s="28">
        <f t="shared" si="2"/>
        <v>3.8763592542145588E-4</v>
      </c>
      <c r="D73" s="15">
        <f>((26.5827*9174)+(26.6003*31593)+(26.5701*3884))/B73</f>
        <v>26.59405693265548</v>
      </c>
      <c r="E73" s="15">
        <v>26.96</v>
      </c>
      <c r="F73" s="15">
        <v>26.28</v>
      </c>
      <c r="G73" s="20"/>
      <c r="J73" s="9"/>
      <c r="K73" s="9"/>
      <c r="L73" s="9"/>
      <c r="M73" s="23"/>
    </row>
    <row r="74" spans="1:13" x14ac:dyDescent="0.25">
      <c r="A74" s="11">
        <v>44663</v>
      </c>
      <c r="B74" s="12">
        <v>45000</v>
      </c>
      <c r="C74" s="27">
        <f t="shared" si="2"/>
        <v>3.906657553910442E-4</v>
      </c>
      <c r="D74" s="13">
        <v>27.442699999999999</v>
      </c>
      <c r="E74" s="13"/>
      <c r="F74" s="13"/>
      <c r="G74" s="12">
        <f>B74*D74</f>
        <v>1234921.5</v>
      </c>
      <c r="J74" s="9"/>
      <c r="K74" s="9"/>
      <c r="L74" s="9"/>
      <c r="M74" s="23"/>
    </row>
    <row r="75" spans="1:13" x14ac:dyDescent="0.25">
      <c r="A75" s="5" t="s">
        <v>5</v>
      </c>
      <c r="B75" s="7">
        <v>21833</v>
      </c>
      <c r="C75" s="27">
        <f t="shared" si="2"/>
        <v>1.8954234305450373E-4</v>
      </c>
      <c r="D75" s="14">
        <v>27.437100000000001</v>
      </c>
      <c r="E75" s="14">
        <v>27.8</v>
      </c>
      <c r="F75" s="14">
        <v>27</v>
      </c>
      <c r="G75" s="19"/>
      <c r="J75" s="9"/>
      <c r="K75" s="9"/>
      <c r="L75" s="9"/>
      <c r="M75" s="23"/>
    </row>
    <row r="76" spans="1:13" x14ac:dyDescent="0.25">
      <c r="A76" s="6" t="s">
        <v>6</v>
      </c>
      <c r="B76" s="26">
        <v>23167</v>
      </c>
      <c r="C76" s="28">
        <f t="shared" si="2"/>
        <v>2.0112341233654045E-4</v>
      </c>
      <c r="D76" s="15">
        <f>((27.4591*7596)+(27.4415*12094)+(27.4457*3477))/B76</f>
        <v>27.447901044589283</v>
      </c>
      <c r="E76" s="15">
        <v>27.68</v>
      </c>
      <c r="F76" s="15">
        <v>26.98</v>
      </c>
      <c r="G76" s="20"/>
      <c r="J76" s="9"/>
      <c r="K76" s="9"/>
      <c r="L76" s="9"/>
      <c r="M76" s="23"/>
    </row>
    <row r="77" spans="1:13" x14ac:dyDescent="0.25">
      <c r="A77" s="11">
        <v>44664</v>
      </c>
      <c r="B77" s="12">
        <v>133400</v>
      </c>
      <c r="C77" s="27">
        <f t="shared" si="2"/>
        <v>1.1581069282036731E-3</v>
      </c>
      <c r="D77" s="13">
        <v>26.741800000000001</v>
      </c>
      <c r="E77" s="13"/>
      <c r="F77" s="13"/>
      <c r="G77" s="12">
        <f>B77*D77</f>
        <v>3567356.12</v>
      </c>
      <c r="J77" s="9"/>
      <c r="K77" s="9"/>
      <c r="L77" s="9"/>
      <c r="M77" s="23"/>
    </row>
    <row r="78" spans="1:13" x14ac:dyDescent="0.25">
      <c r="A78" s="5" t="s">
        <v>5</v>
      </c>
      <c r="B78" s="7">
        <v>86188</v>
      </c>
      <c r="C78" s="27">
        <f t="shared" si="2"/>
        <v>7.482377805698515E-4</v>
      </c>
      <c r="D78" s="14">
        <v>26.754200000000001</v>
      </c>
      <c r="E78" s="14">
        <v>27.24</v>
      </c>
      <c r="F78" s="14">
        <v>26.28</v>
      </c>
      <c r="G78" s="19"/>
      <c r="J78" s="9"/>
      <c r="K78" s="9"/>
      <c r="L78" s="9"/>
      <c r="M78" s="23"/>
    </row>
    <row r="79" spans="1:13" x14ac:dyDescent="0.25">
      <c r="A79" s="6" t="s">
        <v>6</v>
      </c>
      <c r="B79" s="26">
        <v>47212</v>
      </c>
      <c r="C79" s="28">
        <f t="shared" si="2"/>
        <v>4.0986914763382171E-4</v>
      </c>
      <c r="D79" s="15">
        <f>((26.7121*10164)+(26.7215*32931)+(26.72*4117))/B79</f>
        <v>26.719345524442936</v>
      </c>
      <c r="E79" s="15">
        <v>27.08</v>
      </c>
      <c r="F79" s="15">
        <v>26.32</v>
      </c>
      <c r="G79" s="20"/>
      <c r="J79" s="9"/>
      <c r="K79" s="9"/>
      <c r="L79" s="9"/>
      <c r="M79" s="23"/>
    </row>
    <row r="80" spans="1:13" x14ac:dyDescent="0.25">
      <c r="A80" s="11">
        <v>44665</v>
      </c>
      <c r="B80" s="12">
        <v>134900</v>
      </c>
      <c r="C80" s="27">
        <f t="shared" si="2"/>
        <v>1.1711291200500412E-3</v>
      </c>
      <c r="D80" s="13">
        <v>26.755700000000001</v>
      </c>
      <c r="E80" s="13"/>
      <c r="F80" s="13"/>
      <c r="G80" s="12">
        <f>B80*D80</f>
        <v>3609343.93</v>
      </c>
      <c r="J80" s="9"/>
      <c r="K80" s="9"/>
      <c r="L80" s="9"/>
      <c r="M80" s="23"/>
    </row>
    <row r="81" spans="1:13" x14ac:dyDescent="0.25">
      <c r="A81" s="5" t="s">
        <v>5</v>
      </c>
      <c r="B81" s="7">
        <v>86849</v>
      </c>
      <c r="C81" s="27">
        <f t="shared" si="2"/>
        <v>7.5397622644348436E-4</v>
      </c>
      <c r="D81" s="14">
        <v>26.761099999999999</v>
      </c>
      <c r="E81" s="14">
        <v>27.06</v>
      </c>
      <c r="F81" s="14">
        <v>26.5</v>
      </c>
      <c r="G81" s="19"/>
      <c r="J81" s="9"/>
      <c r="K81" s="9"/>
      <c r="L81" s="9"/>
      <c r="M81" s="23"/>
    </row>
    <row r="82" spans="1:13" x14ac:dyDescent="0.25">
      <c r="A82" s="6" t="s">
        <v>6</v>
      </c>
      <c r="B82" s="26">
        <v>48051</v>
      </c>
      <c r="C82" s="28">
        <f t="shared" si="2"/>
        <v>4.1715289360655698E-4</v>
      </c>
      <c r="D82" s="15">
        <f>((26.7547*10422)+(26.7419*33440)+(26.7572*4189))/B82</f>
        <v>26.746010076793404</v>
      </c>
      <c r="E82" s="15">
        <v>27.02</v>
      </c>
      <c r="F82" s="15">
        <v>26.5</v>
      </c>
      <c r="G82" s="20"/>
      <c r="J82" s="9"/>
      <c r="K82" s="9"/>
      <c r="L82" s="9"/>
      <c r="M82" s="23"/>
    </row>
    <row r="83" spans="1:13" x14ac:dyDescent="0.25">
      <c r="A83" s="11">
        <v>44670</v>
      </c>
      <c r="B83" s="12">
        <v>122000</v>
      </c>
      <c r="C83" s="27">
        <f t="shared" si="2"/>
        <v>1.0591382701712754E-3</v>
      </c>
      <c r="D83" s="13">
        <v>26.972300000000001</v>
      </c>
      <c r="E83" s="13"/>
      <c r="F83" s="13"/>
      <c r="G83" s="12">
        <f>B83*D83</f>
        <v>3290620.6</v>
      </c>
      <c r="J83" s="9"/>
      <c r="K83" s="9"/>
      <c r="L83" s="9"/>
      <c r="M83" s="23"/>
    </row>
    <row r="84" spans="1:13" x14ac:dyDescent="0.25">
      <c r="A84" s="5" t="s">
        <v>5</v>
      </c>
      <c r="B84" s="7">
        <v>72873</v>
      </c>
      <c r="C84" s="27">
        <f t="shared" si="2"/>
        <v>6.326441242802569E-4</v>
      </c>
      <c r="D84" s="14">
        <v>26.9832</v>
      </c>
      <c r="E84" s="14">
        <v>27.22</v>
      </c>
      <c r="F84" s="14">
        <v>26.6</v>
      </c>
      <c r="G84" s="19"/>
      <c r="J84" s="9"/>
      <c r="K84" s="9"/>
      <c r="L84" s="9"/>
      <c r="M84" s="23"/>
    </row>
    <row r="85" spans="1:13" x14ac:dyDescent="0.25">
      <c r="A85" s="6" t="s">
        <v>6</v>
      </c>
      <c r="B85" s="26">
        <v>49127</v>
      </c>
      <c r="C85" s="28">
        <f t="shared" si="2"/>
        <v>4.2649414589101837E-4</v>
      </c>
      <c r="D85" s="15">
        <f>((10361*26.9306)+(34578*26.9603)+(4188*26.9852))/B85</f>
        <v>26.956158886152213</v>
      </c>
      <c r="E85" s="15">
        <v>27.22</v>
      </c>
      <c r="F85" s="15">
        <v>26.62</v>
      </c>
      <c r="G85" s="20"/>
      <c r="J85" s="9"/>
      <c r="K85" s="9"/>
      <c r="L85" s="9"/>
      <c r="M85" s="23"/>
    </row>
    <row r="86" spans="1:13" x14ac:dyDescent="0.25">
      <c r="A86" s="11">
        <v>44671</v>
      </c>
      <c r="B86" s="12">
        <v>43000</v>
      </c>
      <c r="C86" s="27">
        <f t="shared" si="2"/>
        <v>3.7330283292922001E-4</v>
      </c>
      <c r="D86" s="13">
        <v>27.341899999999999</v>
      </c>
      <c r="E86" s="13"/>
      <c r="F86" s="13"/>
      <c r="G86" s="12">
        <f>B86*D86</f>
        <v>1175701.7</v>
      </c>
      <c r="J86" s="9"/>
      <c r="K86" s="9"/>
      <c r="L86" s="9"/>
      <c r="M86" s="23"/>
    </row>
    <row r="87" spans="1:13" x14ac:dyDescent="0.25">
      <c r="A87" s="5" t="s">
        <v>5</v>
      </c>
      <c r="B87" s="7">
        <v>24188</v>
      </c>
      <c r="C87" s="27">
        <f t="shared" si="2"/>
        <v>2.0998718425330171E-4</v>
      </c>
      <c r="D87" s="14">
        <v>27.316600000000001</v>
      </c>
      <c r="E87" s="14">
        <v>27.72</v>
      </c>
      <c r="F87" s="14">
        <v>27.06</v>
      </c>
      <c r="G87" s="19"/>
      <c r="J87" s="9"/>
      <c r="K87" s="9"/>
      <c r="L87" s="9"/>
      <c r="M87" s="23"/>
    </row>
    <row r="88" spans="1:13" x14ac:dyDescent="0.25">
      <c r="A88" s="6" t="s">
        <v>6</v>
      </c>
      <c r="B88" s="26">
        <v>18812</v>
      </c>
      <c r="C88" s="28">
        <f t="shared" si="2"/>
        <v>1.633156486759183E-4</v>
      </c>
      <c r="D88" s="15">
        <f>((5126*27.3339)+(9825*27.398)+(3861*27.368))/B88</f>
        <v>27.374376429938337</v>
      </c>
      <c r="E88" s="15">
        <v>27.76</v>
      </c>
      <c r="F88" s="15">
        <v>27.06</v>
      </c>
      <c r="G88" s="20"/>
      <c r="J88" s="9"/>
      <c r="K88" s="9"/>
      <c r="L88" s="9"/>
      <c r="M88" s="23"/>
    </row>
    <row r="89" spans="1:13" x14ac:dyDescent="0.25">
      <c r="A89" s="11">
        <v>44672</v>
      </c>
      <c r="B89" s="12">
        <v>22800</v>
      </c>
      <c r="C89" s="27">
        <f t="shared" si="2"/>
        <v>1.9793731606479573E-4</v>
      </c>
      <c r="D89" s="13">
        <v>28.296900000000001</v>
      </c>
      <c r="E89" s="13"/>
      <c r="F89" s="13"/>
      <c r="G89" s="12">
        <f>B89*D89</f>
        <v>645169.32000000007</v>
      </c>
      <c r="J89" s="9"/>
      <c r="K89" s="9"/>
      <c r="L89" s="9"/>
      <c r="M89" s="23"/>
    </row>
    <row r="90" spans="1:13" x14ac:dyDescent="0.25">
      <c r="A90" s="5" t="s">
        <v>5</v>
      </c>
      <c r="B90" s="7">
        <v>16570</v>
      </c>
      <c r="C90" s="27">
        <f t="shared" si="2"/>
        <v>1.4385181259621337E-4</v>
      </c>
      <c r="D90" s="14">
        <v>28.292899999999999</v>
      </c>
      <c r="E90" s="14">
        <v>28.48</v>
      </c>
      <c r="F90" s="14">
        <v>27.82</v>
      </c>
      <c r="G90" s="19"/>
      <c r="J90" s="9"/>
      <c r="K90" s="9"/>
      <c r="L90" s="9"/>
      <c r="M90" s="23"/>
    </row>
    <row r="91" spans="1:13" x14ac:dyDescent="0.25">
      <c r="A91" s="6" t="s">
        <v>6</v>
      </c>
      <c r="B91" s="26">
        <v>6230</v>
      </c>
      <c r="C91" s="28">
        <f t="shared" si="2"/>
        <v>5.4085503468582337E-5</v>
      </c>
      <c r="D91" s="15">
        <f>((693*28.2603)+(5057*28.3184)+(480*28.2634))/B91</f>
        <v>28.307699630818618</v>
      </c>
      <c r="E91" s="15">
        <v>28.48</v>
      </c>
      <c r="F91" s="15">
        <v>27.74</v>
      </c>
      <c r="G91" s="20"/>
      <c r="J91" s="9"/>
      <c r="K91" s="9"/>
      <c r="L91" s="9"/>
      <c r="M91" s="23"/>
    </row>
    <row r="92" spans="1:13" x14ac:dyDescent="0.25">
      <c r="A92" s="11">
        <v>44673</v>
      </c>
      <c r="B92" s="12">
        <v>22800</v>
      </c>
      <c r="C92" s="27">
        <f t="shared" si="2"/>
        <v>1.9793731606479573E-4</v>
      </c>
      <c r="D92" s="13">
        <v>28.1843</v>
      </c>
      <c r="E92" s="13"/>
      <c r="F92" s="13"/>
      <c r="G92" s="12">
        <f>B92*D92</f>
        <v>642602.04</v>
      </c>
      <c r="J92" s="9"/>
      <c r="K92" s="9"/>
      <c r="L92" s="9"/>
      <c r="M92" s="23"/>
    </row>
    <row r="93" spans="1:13" x14ac:dyDescent="0.25">
      <c r="A93" s="5" t="s">
        <v>5</v>
      </c>
      <c r="B93" s="7">
        <v>18695</v>
      </c>
      <c r="C93" s="27">
        <f t="shared" si="2"/>
        <v>1.6229991771190159E-4</v>
      </c>
      <c r="D93" s="14">
        <v>28.1982</v>
      </c>
      <c r="E93" s="14">
        <v>28.48</v>
      </c>
      <c r="F93" s="14">
        <v>27.84</v>
      </c>
      <c r="G93" s="19"/>
      <c r="J93" s="9"/>
      <c r="K93" s="9"/>
      <c r="L93" s="9"/>
      <c r="M93" s="23"/>
    </row>
    <row r="94" spans="1:13" x14ac:dyDescent="0.25">
      <c r="A94" s="6" t="s">
        <v>6</v>
      </c>
      <c r="B94" s="26">
        <v>4105</v>
      </c>
      <c r="C94" s="28">
        <f t="shared" si="2"/>
        <v>3.5637398352894139E-5</v>
      </c>
      <c r="D94" s="15">
        <f>((625*28.1451)+(2189*28.1018)+(1291*28.1417))/B94</f>
        <v>28.120940901339832</v>
      </c>
      <c r="E94" s="15">
        <v>28.42</v>
      </c>
      <c r="F94" s="15">
        <v>27.98</v>
      </c>
      <c r="G94" s="20"/>
      <c r="J94" s="9"/>
      <c r="K94" s="9"/>
      <c r="L94" s="9"/>
      <c r="M94" s="23"/>
    </row>
    <row r="95" spans="1:13" x14ac:dyDescent="0.25">
      <c r="A95" s="11">
        <v>44676</v>
      </c>
      <c r="B95" s="12">
        <v>22500</v>
      </c>
      <c r="C95" s="27">
        <f t="shared" si="2"/>
        <v>1.953328776955221E-4</v>
      </c>
      <c r="D95" s="13">
        <v>27.512799999999999</v>
      </c>
      <c r="E95" s="13"/>
      <c r="F95" s="13"/>
      <c r="G95" s="12">
        <f>B95*D95</f>
        <v>619038</v>
      </c>
      <c r="J95" s="9"/>
      <c r="K95" s="9"/>
      <c r="L95" s="9"/>
      <c r="M95" s="23"/>
    </row>
    <row r="96" spans="1:13" x14ac:dyDescent="0.25">
      <c r="A96" s="5" t="s">
        <v>5</v>
      </c>
      <c r="B96" s="7">
        <v>17389</v>
      </c>
      <c r="C96" s="27">
        <f t="shared" si="2"/>
        <v>1.5096192934433038E-4</v>
      </c>
      <c r="D96" s="14">
        <v>27.4802</v>
      </c>
      <c r="E96" s="14">
        <v>27.74</v>
      </c>
      <c r="F96" s="14">
        <v>27.2</v>
      </c>
      <c r="G96" s="19"/>
      <c r="J96" s="9"/>
      <c r="K96" s="9"/>
      <c r="L96" s="9"/>
      <c r="M96" s="23"/>
    </row>
    <row r="97" spans="1:13" x14ac:dyDescent="0.25">
      <c r="A97" s="6" t="s">
        <v>6</v>
      </c>
      <c r="B97" s="26">
        <v>5111</v>
      </c>
      <c r="C97" s="28">
        <f t="shared" si="2"/>
        <v>4.4370948351191709E-5</v>
      </c>
      <c r="D97" s="15">
        <f>((27.64*915)+(27.6231*3531)+(27.6032*665))/B97</f>
        <v>27.623536313832911</v>
      </c>
      <c r="E97" s="15">
        <v>27.7</v>
      </c>
      <c r="F97" s="15">
        <v>27.54</v>
      </c>
      <c r="G97" s="20"/>
      <c r="J97" s="9"/>
      <c r="K97" s="9"/>
      <c r="L97" s="9"/>
      <c r="M97" s="23"/>
    </row>
    <row r="98" spans="1:13" x14ac:dyDescent="0.25">
      <c r="A98" s="11">
        <v>44677</v>
      </c>
      <c r="B98" s="12">
        <v>22800</v>
      </c>
      <c r="C98" s="27">
        <f t="shared" si="2"/>
        <v>1.9793731606479573E-4</v>
      </c>
      <c r="D98" s="13">
        <v>27.7532</v>
      </c>
      <c r="E98" s="13"/>
      <c r="F98" s="13"/>
      <c r="G98" s="12">
        <f>B98*D98</f>
        <v>632772.96</v>
      </c>
      <c r="J98" s="9"/>
      <c r="K98" s="9"/>
      <c r="L98" s="9"/>
      <c r="M98" s="23"/>
    </row>
    <row r="99" spans="1:13" x14ac:dyDescent="0.25">
      <c r="A99" s="5" t="s">
        <v>5</v>
      </c>
      <c r="B99" s="7">
        <v>18961</v>
      </c>
      <c r="C99" s="27">
        <f t="shared" si="2"/>
        <v>1.6460918639932419E-4</v>
      </c>
      <c r="D99" s="14">
        <v>27.753799999999998</v>
      </c>
      <c r="E99" s="14">
        <v>28.08</v>
      </c>
      <c r="F99" s="14">
        <v>27.2</v>
      </c>
      <c r="G99" s="19"/>
      <c r="J99" s="9"/>
      <c r="K99" s="9"/>
      <c r="L99" s="9"/>
      <c r="M99" s="23"/>
    </row>
    <row r="100" spans="1:13" x14ac:dyDescent="0.25">
      <c r="A100" s="6" t="s">
        <v>6</v>
      </c>
      <c r="B100" s="26">
        <v>3839</v>
      </c>
      <c r="C100" s="28">
        <f t="shared" si="2"/>
        <v>3.3328129665471526E-5</v>
      </c>
      <c r="D100" s="15">
        <f>((27.7668*1489)+(27.78*2047)+(27.464*303))/B100</f>
        <v>27.749939359208128</v>
      </c>
      <c r="E100" s="15">
        <v>27.86</v>
      </c>
      <c r="F100" s="15">
        <v>27.2</v>
      </c>
      <c r="G100" s="20"/>
      <c r="J100" s="9"/>
      <c r="K100" s="9"/>
      <c r="L100" s="9"/>
      <c r="M100" s="23"/>
    </row>
    <row r="101" spans="1:13" x14ac:dyDescent="0.25">
      <c r="A101" s="11">
        <v>44678</v>
      </c>
      <c r="B101" s="12">
        <v>103000</v>
      </c>
      <c r="C101" s="27">
        <f t="shared" si="2"/>
        <v>8.9419050678394554E-4</v>
      </c>
      <c r="D101" s="13">
        <v>27.068999999999999</v>
      </c>
      <c r="E101" s="13"/>
      <c r="F101" s="13"/>
      <c r="G101" s="12">
        <f>B101*D101</f>
        <v>2788107</v>
      </c>
      <c r="J101" s="9"/>
      <c r="K101" s="9"/>
      <c r="L101" s="9"/>
      <c r="M101" s="23"/>
    </row>
    <row r="102" spans="1:13" x14ac:dyDescent="0.25">
      <c r="A102" s="5" t="s">
        <v>5</v>
      </c>
      <c r="B102" s="7">
        <v>68266</v>
      </c>
      <c r="C102" s="27">
        <f t="shared" si="2"/>
        <v>5.9264863238944494E-4</v>
      </c>
      <c r="D102" s="14">
        <v>27.026399999999999</v>
      </c>
      <c r="E102" s="14">
        <v>27.34</v>
      </c>
      <c r="F102" s="14">
        <v>26.5</v>
      </c>
      <c r="G102" s="19"/>
      <c r="J102" s="9"/>
      <c r="K102" s="9"/>
      <c r="L102" s="9"/>
      <c r="M102" s="23"/>
    </row>
    <row r="103" spans="1:13" x14ac:dyDescent="0.25">
      <c r="A103" s="6" t="s">
        <v>6</v>
      </c>
      <c r="B103" s="26">
        <v>34734</v>
      </c>
      <c r="C103" s="28">
        <f t="shared" si="2"/>
        <v>3.0154187439450066E-4</v>
      </c>
      <c r="D103" s="15">
        <f>((27.1685*8525)+(27.149*22075)+(27.1409*4134))/B103</f>
        <v>27.152821964069791</v>
      </c>
      <c r="E103" s="15">
        <v>27.42</v>
      </c>
      <c r="F103" s="15">
        <v>26.5</v>
      </c>
      <c r="G103" s="20"/>
      <c r="J103" s="9"/>
      <c r="K103" s="9"/>
      <c r="L103" s="9"/>
      <c r="M103" s="23"/>
    </row>
    <row r="104" spans="1:13" x14ac:dyDescent="0.25">
      <c r="A104" s="11">
        <v>44679</v>
      </c>
      <c r="B104" s="12">
        <v>135000</v>
      </c>
      <c r="C104" s="27">
        <f t="shared" si="2"/>
        <v>1.1719972661731325E-3</v>
      </c>
      <c r="D104" s="13">
        <v>26.6691</v>
      </c>
      <c r="E104" s="13"/>
      <c r="F104" s="13"/>
      <c r="G104" s="12">
        <f>B104*D104</f>
        <v>3600328.5</v>
      </c>
      <c r="J104" s="9"/>
      <c r="K104" s="9"/>
      <c r="L104" s="9"/>
      <c r="M104" s="23"/>
    </row>
    <row r="105" spans="1:13" x14ac:dyDescent="0.25">
      <c r="A105" s="5" t="s">
        <v>5</v>
      </c>
      <c r="B105" s="7">
        <v>84830</v>
      </c>
      <c r="C105" s="27">
        <f t="shared" si="2"/>
        <v>7.3644835621827288E-4</v>
      </c>
      <c r="D105" s="14">
        <v>26.6556</v>
      </c>
      <c r="E105" s="14">
        <v>27.14</v>
      </c>
      <c r="F105" s="14">
        <v>26.12</v>
      </c>
      <c r="G105" s="19"/>
      <c r="J105" s="9"/>
      <c r="K105" s="9"/>
      <c r="L105" s="9"/>
      <c r="M105" s="23"/>
    </row>
    <row r="106" spans="1:13" x14ac:dyDescent="0.25">
      <c r="A106" s="6" t="s">
        <v>6</v>
      </c>
      <c r="B106" s="26">
        <v>50170</v>
      </c>
      <c r="C106" s="28">
        <f t="shared" si="2"/>
        <v>4.3554890995485968E-4</v>
      </c>
      <c r="D106" s="15">
        <f>((26.7135*10793)+(26.6769*35162)+(26.7617*4215))/B106</f>
        <v>26.691898122383893</v>
      </c>
      <c r="E106" s="15">
        <v>27.14</v>
      </c>
      <c r="F106" s="15">
        <v>26.1</v>
      </c>
      <c r="G106" s="20"/>
      <c r="J106" s="9"/>
      <c r="K106" s="9"/>
      <c r="L106" s="9"/>
      <c r="M106" s="23"/>
    </row>
    <row r="107" spans="1:13" x14ac:dyDescent="0.25">
      <c r="A107" s="11">
        <v>44680</v>
      </c>
      <c r="B107" s="12">
        <v>115000</v>
      </c>
      <c r="C107" s="27">
        <f t="shared" si="2"/>
        <v>9.9836804155489073E-4</v>
      </c>
      <c r="D107" s="13">
        <v>26.992000000000001</v>
      </c>
      <c r="E107" s="13"/>
      <c r="F107" s="13"/>
      <c r="G107" s="12">
        <f>B107*D107</f>
        <v>3104080</v>
      </c>
      <c r="J107" s="9"/>
      <c r="K107" s="9"/>
      <c r="L107" s="9"/>
      <c r="M107" s="23"/>
    </row>
    <row r="108" spans="1:13" x14ac:dyDescent="0.25">
      <c r="A108" s="5" t="s">
        <v>5</v>
      </c>
      <c r="B108" s="7">
        <v>76547</v>
      </c>
      <c r="C108" s="27">
        <f t="shared" ref="C108:C112" si="3">B108/$M$4</f>
        <v>6.6453981284262797E-4</v>
      </c>
      <c r="D108" s="14">
        <v>26.9894</v>
      </c>
      <c r="E108" s="14">
        <v>27.26</v>
      </c>
      <c r="F108" s="14">
        <v>26.68</v>
      </c>
      <c r="G108" s="19"/>
      <c r="J108" s="9"/>
      <c r="K108" s="9"/>
      <c r="L108" s="9"/>
      <c r="M108" s="23"/>
    </row>
    <row r="109" spans="1:13" x14ac:dyDescent="0.25">
      <c r="A109" s="6" t="s">
        <v>6</v>
      </c>
      <c r="B109" s="26">
        <v>38453</v>
      </c>
      <c r="C109" s="28">
        <f t="shared" si="3"/>
        <v>3.3382822871226271E-4</v>
      </c>
      <c r="D109" s="15">
        <f>((27.0445*7928)+(26.9841*26205)+(26.9912*4320))/B109</f>
        <v>26.99735054482095</v>
      </c>
      <c r="E109" s="15">
        <v>27.3</v>
      </c>
      <c r="F109" s="15">
        <v>26.62</v>
      </c>
      <c r="G109" s="20"/>
      <c r="J109" s="9"/>
      <c r="K109" s="9"/>
      <c r="L109" s="9"/>
      <c r="M109" s="23"/>
    </row>
    <row r="110" spans="1:13" x14ac:dyDescent="0.25">
      <c r="A110" s="11">
        <v>44683</v>
      </c>
      <c r="B110" s="12">
        <v>138000</v>
      </c>
      <c r="C110" s="27">
        <f t="shared" si="3"/>
        <v>1.1980416498658688E-3</v>
      </c>
      <c r="D110" s="13">
        <v>26.488299999999999</v>
      </c>
      <c r="E110" s="13"/>
      <c r="F110" s="13"/>
      <c r="G110" s="12">
        <f>B110*D110</f>
        <v>3655385.4</v>
      </c>
      <c r="J110" s="9"/>
      <c r="K110" s="9"/>
      <c r="L110" s="9"/>
      <c r="M110" s="23"/>
    </row>
    <row r="111" spans="1:13" x14ac:dyDescent="0.25">
      <c r="A111" s="5" t="s">
        <v>5</v>
      </c>
      <c r="B111" s="7">
        <v>86028</v>
      </c>
      <c r="C111" s="27">
        <f t="shared" si="3"/>
        <v>7.4684874677290549E-4</v>
      </c>
      <c r="D111" s="14">
        <v>26.490902496861501</v>
      </c>
      <c r="E111" s="14">
        <v>26.96</v>
      </c>
      <c r="F111" s="14">
        <v>25.76</v>
      </c>
      <c r="G111" s="19"/>
      <c r="J111" s="9"/>
      <c r="K111" s="9"/>
      <c r="L111" s="9"/>
      <c r="M111" s="23"/>
    </row>
    <row r="112" spans="1:13" x14ac:dyDescent="0.25">
      <c r="A112" s="6" t="s">
        <v>6</v>
      </c>
      <c r="B112" s="26">
        <v>51972</v>
      </c>
      <c r="C112" s="28">
        <f t="shared" si="3"/>
        <v>4.5119290309296331E-4</v>
      </c>
      <c r="D112" s="15">
        <f>((26.5023*11239)+(26.4735*36428)+(26.5246*4305))/B112</f>
        <v>26.483960800046177</v>
      </c>
      <c r="E112" s="15">
        <v>26.78</v>
      </c>
      <c r="F112" s="15">
        <v>26.2</v>
      </c>
      <c r="G112" s="20"/>
      <c r="J112" s="9"/>
      <c r="K112" s="9"/>
      <c r="L112" s="9"/>
      <c r="M112" s="23"/>
    </row>
    <row r="113" spans="1:13" x14ac:dyDescent="0.25">
      <c r="A113" s="11">
        <v>44684</v>
      </c>
      <c r="B113" s="12">
        <v>41782</v>
      </c>
      <c r="C113" s="27">
        <f t="shared" ref="C113:C118" si="4">B113/$M$4</f>
        <v>3.6272881314996906E-4</v>
      </c>
      <c r="D113" s="13">
        <v>27.088899999999999</v>
      </c>
      <c r="E113" s="13"/>
      <c r="F113" s="13"/>
      <c r="G113" s="12">
        <f>B113*D113</f>
        <v>1131828.4198</v>
      </c>
      <c r="J113" s="9"/>
      <c r="K113" s="9"/>
      <c r="L113" s="9"/>
      <c r="M113" s="23"/>
    </row>
    <row r="114" spans="1:13" x14ac:dyDescent="0.25">
      <c r="A114" s="5" t="s">
        <v>5</v>
      </c>
      <c r="B114" s="7">
        <v>23919</v>
      </c>
      <c r="C114" s="27">
        <f t="shared" si="4"/>
        <v>2.0765187118218636E-4</v>
      </c>
      <c r="D114" s="14">
        <v>27.085242694092599</v>
      </c>
      <c r="E114" s="14">
        <v>27.44</v>
      </c>
      <c r="F114" s="14">
        <v>26.64</v>
      </c>
      <c r="G114" s="19"/>
      <c r="J114" s="9"/>
      <c r="K114" s="9"/>
      <c r="L114" s="9"/>
      <c r="M114" s="23"/>
    </row>
    <row r="115" spans="1:13" x14ac:dyDescent="0.25">
      <c r="A115" s="6" t="s">
        <v>6</v>
      </c>
      <c r="B115" s="26">
        <v>17863</v>
      </c>
      <c r="C115" s="28">
        <f t="shared" si="4"/>
        <v>1.5507694196778272E-4</v>
      </c>
      <c r="D115" s="15">
        <f>((27.1195*3892)+(27.0886*12337)+(27.0709*1634))/B115</f>
        <v>27.093713418798632</v>
      </c>
      <c r="E115" s="15">
        <v>27.42</v>
      </c>
      <c r="F115" s="15">
        <v>26.62</v>
      </c>
      <c r="G115" s="20"/>
      <c r="J115" s="9"/>
      <c r="K115" s="9"/>
      <c r="L115" s="9"/>
      <c r="M115" s="23"/>
    </row>
    <row r="116" spans="1:13" x14ac:dyDescent="0.25">
      <c r="A116" s="11">
        <v>44686</v>
      </c>
      <c r="B116" s="12">
        <v>146700</v>
      </c>
      <c r="C116" s="27">
        <f t="shared" si="4"/>
        <v>1.2735703625748041E-3</v>
      </c>
      <c r="D116" s="13">
        <v>24.976400000000002</v>
      </c>
      <c r="E116" s="13"/>
      <c r="F116" s="13"/>
      <c r="G116" s="12">
        <f>B116*D116</f>
        <v>3664037.8800000004</v>
      </c>
      <c r="J116" s="9"/>
      <c r="K116" s="9"/>
      <c r="L116" s="9"/>
      <c r="M116" s="23"/>
    </row>
    <row r="117" spans="1:13" x14ac:dyDescent="0.25">
      <c r="A117" s="5" t="s">
        <v>5</v>
      </c>
      <c r="B117" s="7">
        <v>90309</v>
      </c>
      <c r="C117" s="27">
        <f t="shared" si="4"/>
        <v>7.8401408230244023E-4</v>
      </c>
      <c r="D117" s="14">
        <v>24.965839949506702</v>
      </c>
      <c r="E117" s="14">
        <v>25.3</v>
      </c>
      <c r="F117" s="14">
        <v>24.62</v>
      </c>
      <c r="G117" s="19"/>
      <c r="J117" s="9"/>
      <c r="K117" s="9"/>
      <c r="L117" s="9"/>
      <c r="M117" s="23"/>
    </row>
    <row r="118" spans="1:13" x14ac:dyDescent="0.25">
      <c r="A118" s="6" t="s">
        <v>6</v>
      </c>
      <c r="B118" s="26">
        <v>56391</v>
      </c>
      <c r="C118" s="28">
        <f t="shared" si="4"/>
        <v>4.8955628027236384E-4</v>
      </c>
      <c r="D118" s="15">
        <f>((25.0061*12291)+(24.9853*39196)+(25.0239*4904))/B118</f>
        <v>24.993190393857173</v>
      </c>
      <c r="E118" s="15">
        <v>25.32</v>
      </c>
      <c r="F118" s="15">
        <v>24.66</v>
      </c>
      <c r="G118" s="20"/>
      <c r="J118" s="9"/>
      <c r="K118" s="9"/>
      <c r="L118" s="9"/>
      <c r="M118" s="23"/>
    </row>
    <row r="119" spans="1:13" x14ac:dyDescent="0.25">
      <c r="A119" s="11">
        <v>44687</v>
      </c>
      <c r="B119" s="12">
        <v>148900</v>
      </c>
      <c r="C119" s="27">
        <f t="shared" ref="C119:C158" si="5">B119/$M$4</f>
        <v>1.2926695772828107E-3</v>
      </c>
      <c r="D119" s="13">
        <v>24.394600000000001</v>
      </c>
      <c r="E119" s="13"/>
      <c r="F119" s="13"/>
      <c r="G119" s="12">
        <f>B119*D119</f>
        <v>3632355.94</v>
      </c>
      <c r="J119" s="9"/>
      <c r="K119" s="9"/>
      <c r="L119" s="9"/>
      <c r="M119" s="23"/>
    </row>
    <row r="120" spans="1:13" x14ac:dyDescent="0.25">
      <c r="A120" s="5" t="s">
        <v>5</v>
      </c>
      <c r="B120" s="7">
        <v>90695</v>
      </c>
      <c r="C120" s="27">
        <f t="shared" si="5"/>
        <v>7.8736512633757229E-4</v>
      </c>
      <c r="D120" s="14">
        <v>24.385322674899399</v>
      </c>
      <c r="E120" s="14">
        <v>24.76</v>
      </c>
      <c r="F120" s="14">
        <v>24.02</v>
      </c>
      <c r="G120" s="19"/>
      <c r="J120" s="9"/>
      <c r="K120" s="9"/>
      <c r="L120" s="9"/>
      <c r="M120" s="23"/>
    </row>
    <row r="121" spans="1:13" x14ac:dyDescent="0.25">
      <c r="A121" s="6" t="s">
        <v>6</v>
      </c>
      <c r="B121" s="26">
        <v>58205</v>
      </c>
      <c r="C121" s="28">
        <f t="shared" si="5"/>
        <v>5.0530445094523833E-4</v>
      </c>
      <c r="D121" s="15">
        <f>((24.4146*12308)+(24.407*40737)+(24.4112*5160))/B121</f>
        <v>24.408979431320333</v>
      </c>
      <c r="E121" s="15">
        <v>24.72</v>
      </c>
      <c r="F121" s="15">
        <v>24.04</v>
      </c>
      <c r="G121" s="20"/>
      <c r="J121" s="9"/>
      <c r="K121" s="9"/>
      <c r="L121" s="9"/>
      <c r="M121" s="23"/>
    </row>
    <row r="122" spans="1:13" x14ac:dyDescent="0.25">
      <c r="A122" s="11">
        <v>44690</v>
      </c>
      <c r="B122" s="12">
        <v>87932</v>
      </c>
      <c r="C122" s="27">
        <f t="shared" si="5"/>
        <v>7.6337824895656217E-4</v>
      </c>
      <c r="D122" s="13">
        <v>23.696999999999999</v>
      </c>
      <c r="E122" s="13"/>
      <c r="F122" s="13"/>
      <c r="G122" s="12">
        <f>B122*D122</f>
        <v>2083724.6039999998</v>
      </c>
      <c r="J122" s="9"/>
      <c r="K122" s="9"/>
      <c r="L122" s="9"/>
      <c r="M122" s="23"/>
    </row>
    <row r="123" spans="1:13" x14ac:dyDescent="0.25">
      <c r="A123" s="5" t="s">
        <v>5</v>
      </c>
      <c r="B123" s="7">
        <v>56310</v>
      </c>
      <c r="C123" s="27">
        <f t="shared" si="5"/>
        <v>4.8885308191265995E-4</v>
      </c>
      <c r="D123" s="14">
        <v>23.7029088971763</v>
      </c>
      <c r="E123" s="14">
        <v>24.16</v>
      </c>
      <c r="F123" s="14">
        <v>23.46</v>
      </c>
      <c r="G123" s="19"/>
      <c r="J123" s="9"/>
      <c r="K123" s="9"/>
      <c r="L123" s="9"/>
      <c r="M123" s="23"/>
    </row>
    <row r="124" spans="1:13" x14ac:dyDescent="0.25">
      <c r="A124" s="6" t="s">
        <v>6</v>
      </c>
      <c r="B124" s="26">
        <v>31622</v>
      </c>
      <c r="C124" s="28">
        <f t="shared" si="5"/>
        <v>2.7452516704390222E-4</v>
      </c>
      <c r="D124" s="15">
        <f>+((23.6032*5979)+(23.6816*21380)+(23.8279*4263))/B124</f>
        <v>23.686499225222949</v>
      </c>
      <c r="E124" s="15">
        <v>24.14</v>
      </c>
      <c r="F124" s="15">
        <v>23.5</v>
      </c>
      <c r="G124" s="20"/>
      <c r="J124" s="9"/>
      <c r="K124" s="9"/>
      <c r="L124" s="9"/>
      <c r="M124" s="23"/>
    </row>
    <row r="125" spans="1:13" x14ac:dyDescent="0.25">
      <c r="A125" s="11">
        <v>44691</v>
      </c>
      <c r="B125" s="12">
        <v>87933</v>
      </c>
      <c r="C125" s="27">
        <f t="shared" si="5"/>
        <v>7.6338693041779306E-4</v>
      </c>
      <c r="D125" s="13">
        <v>23.833300000000001</v>
      </c>
      <c r="E125" s="13"/>
      <c r="F125" s="13"/>
      <c r="G125" s="12">
        <f>B125*D125</f>
        <v>2095733.5689000001</v>
      </c>
      <c r="J125" s="9"/>
      <c r="K125" s="9"/>
      <c r="L125" s="9"/>
      <c r="M125" s="23"/>
    </row>
    <row r="126" spans="1:13" x14ac:dyDescent="0.25">
      <c r="A126" s="5" t="s">
        <v>5</v>
      </c>
      <c r="B126" s="7">
        <v>47018</v>
      </c>
      <c r="C126" s="27">
        <f t="shared" si="5"/>
        <v>4.081849441550248E-4</v>
      </c>
      <c r="D126" s="14">
        <v>23.846307371644901</v>
      </c>
      <c r="E126" s="14">
        <v>24.1</v>
      </c>
      <c r="F126" s="14">
        <v>23.6</v>
      </c>
      <c r="G126" s="19"/>
      <c r="J126" s="9"/>
      <c r="K126" s="9"/>
      <c r="L126" s="9"/>
      <c r="M126" s="23"/>
    </row>
    <row r="127" spans="1:13" x14ac:dyDescent="0.25">
      <c r="A127" s="6" t="s">
        <v>6</v>
      </c>
      <c r="B127" s="26">
        <v>40915</v>
      </c>
      <c r="C127" s="28">
        <f t="shared" si="5"/>
        <v>3.5520198626276826E-4</v>
      </c>
      <c r="D127" s="15">
        <f>+((23.8145*8605)+(23.8274*27837)+(23.7695*4473))/B127</f>
        <v>23.818357076866672</v>
      </c>
      <c r="E127" s="15">
        <v>24.12</v>
      </c>
      <c r="F127" s="15">
        <v>23.62</v>
      </c>
      <c r="G127" s="20"/>
      <c r="J127" s="9"/>
      <c r="K127" s="9"/>
      <c r="L127" s="9"/>
      <c r="M127" s="23"/>
    </row>
    <row r="128" spans="1:13" x14ac:dyDescent="0.25">
      <c r="A128" s="11">
        <v>44692</v>
      </c>
      <c r="B128" s="12">
        <v>41667</v>
      </c>
      <c r="C128" s="27">
        <f t="shared" si="5"/>
        <v>3.6173044510841415E-4</v>
      </c>
      <c r="D128" s="13">
        <v>23.967199999999998</v>
      </c>
      <c r="E128" s="13"/>
      <c r="F128" s="13"/>
      <c r="G128" s="12">
        <f>B128*D128</f>
        <v>998641.32239999995</v>
      </c>
      <c r="J128" s="9"/>
      <c r="K128" s="9"/>
      <c r="L128" s="9"/>
      <c r="M128" s="23"/>
    </row>
    <row r="129" spans="1:13" x14ac:dyDescent="0.25">
      <c r="A129" s="5" t="s">
        <v>5</v>
      </c>
      <c r="B129" s="7">
        <v>34104</v>
      </c>
      <c r="C129" s="27">
        <f t="shared" si="5"/>
        <v>2.9607255381902599E-4</v>
      </c>
      <c r="D129" s="14">
        <v>23.9532389162562</v>
      </c>
      <c r="E129" s="14">
        <v>24.14</v>
      </c>
      <c r="F129" s="14">
        <v>23.66</v>
      </c>
      <c r="G129" s="19"/>
      <c r="J129" s="9"/>
      <c r="K129" s="9"/>
      <c r="L129" s="9"/>
      <c r="M129" s="23"/>
    </row>
    <row r="130" spans="1:13" x14ac:dyDescent="0.25">
      <c r="A130" s="6" t="s">
        <v>6</v>
      </c>
      <c r="B130" s="26">
        <v>7563</v>
      </c>
      <c r="C130" s="28">
        <f t="shared" si="5"/>
        <v>6.5657891289388158E-5</v>
      </c>
      <c r="D130" s="15">
        <f>+((24.0489*2227)+(24.0172*5057)+(24.12*279))/B130</f>
        <v>24.030326682533389</v>
      </c>
      <c r="E130" s="15">
        <v>24.14</v>
      </c>
      <c r="F130" s="15">
        <v>23.8</v>
      </c>
      <c r="G130" s="20"/>
      <c r="J130" s="9"/>
      <c r="K130" s="9"/>
      <c r="L130" s="9"/>
      <c r="M130" s="23"/>
    </row>
    <row r="131" spans="1:13" x14ac:dyDescent="0.25">
      <c r="A131" s="11">
        <v>44693</v>
      </c>
      <c r="B131" s="12">
        <v>142000</v>
      </c>
      <c r="C131" s="27">
        <f t="shared" si="5"/>
        <v>1.2327674947895171E-3</v>
      </c>
      <c r="D131" s="13">
        <v>22.217500000000001</v>
      </c>
      <c r="E131" s="13"/>
      <c r="F131" s="13"/>
      <c r="G131" s="12">
        <f>B131*D131</f>
        <v>3154885</v>
      </c>
      <c r="J131" s="9"/>
      <c r="K131" s="9"/>
      <c r="L131" s="9"/>
      <c r="M131" s="23"/>
    </row>
    <row r="132" spans="1:13" x14ac:dyDescent="0.25">
      <c r="A132" s="5" t="s">
        <v>5</v>
      </c>
      <c r="B132" s="7">
        <v>85267</v>
      </c>
      <c r="C132" s="27">
        <f t="shared" si="5"/>
        <v>7.4024215477618146E-4</v>
      </c>
      <c r="D132" s="14">
        <v>22.297941524857201</v>
      </c>
      <c r="E132" s="14">
        <v>23.22</v>
      </c>
      <c r="F132" s="14">
        <v>21.78</v>
      </c>
      <c r="G132" s="19"/>
      <c r="J132" s="9"/>
      <c r="K132" s="9"/>
      <c r="L132" s="9"/>
      <c r="M132" s="23"/>
    </row>
    <row r="133" spans="1:13" x14ac:dyDescent="0.25">
      <c r="A133" s="6" t="s">
        <v>6</v>
      </c>
      <c r="B133" s="26">
        <v>56733</v>
      </c>
      <c r="C133" s="28">
        <f t="shared" si="5"/>
        <v>4.925253400133358E-4</v>
      </c>
      <c r="D133" s="15">
        <f>+((22.1368*12204)+(22.0898*39303)+(22.0536*5226))/B133</f>
        <v>22.096575717836181</v>
      </c>
      <c r="E133" s="15">
        <v>23.02</v>
      </c>
      <c r="F133" s="15">
        <v>21.76</v>
      </c>
      <c r="G133" s="20"/>
      <c r="J133" s="9"/>
      <c r="K133" s="9"/>
      <c r="L133" s="9"/>
      <c r="M133" s="23"/>
    </row>
    <row r="134" spans="1:13" x14ac:dyDescent="0.25">
      <c r="A134" s="11">
        <v>44694</v>
      </c>
      <c r="B134" s="12">
        <v>28100</v>
      </c>
      <c r="C134" s="27">
        <f t="shared" si="5"/>
        <v>2.4394906058862982E-4</v>
      </c>
      <c r="D134" s="13">
        <v>23.545400000000001</v>
      </c>
      <c r="E134" s="13"/>
      <c r="F134" s="13"/>
      <c r="G134" s="12">
        <f>B134*D134</f>
        <v>661625.74</v>
      </c>
      <c r="J134" s="9"/>
      <c r="K134" s="9"/>
      <c r="L134" s="9"/>
      <c r="M134" s="23"/>
    </row>
    <row r="135" spans="1:13" x14ac:dyDescent="0.25">
      <c r="A135" s="5" t="s">
        <v>5</v>
      </c>
      <c r="B135" s="7">
        <v>27443</v>
      </c>
      <c r="C135" s="27">
        <f t="shared" si="5"/>
        <v>2.3824534055992056E-4</v>
      </c>
      <c r="D135" s="14">
        <v>23.538595634588098</v>
      </c>
      <c r="E135" s="14">
        <v>24.08</v>
      </c>
      <c r="F135" s="14">
        <v>23.02</v>
      </c>
      <c r="G135" s="19"/>
      <c r="J135" s="9"/>
      <c r="K135" s="9"/>
      <c r="L135" s="9"/>
      <c r="M135" s="23"/>
    </row>
    <row r="136" spans="1:13" x14ac:dyDescent="0.25">
      <c r="A136" s="6" t="s">
        <v>6</v>
      </c>
      <c r="B136" s="26">
        <v>657</v>
      </c>
      <c r="C136" s="28">
        <f t="shared" si="5"/>
        <v>5.7037200287092448E-6</v>
      </c>
      <c r="D136" s="15">
        <v>23.831293759512899</v>
      </c>
      <c r="E136" s="15">
        <v>24.08</v>
      </c>
      <c r="F136" s="15">
        <v>23.24</v>
      </c>
      <c r="G136" s="20"/>
      <c r="J136" s="9"/>
      <c r="K136" s="9"/>
      <c r="L136" s="9"/>
      <c r="M136" s="23"/>
    </row>
    <row r="137" spans="1:13" x14ac:dyDescent="0.25">
      <c r="A137" s="11">
        <v>44697</v>
      </c>
      <c r="B137" s="12">
        <v>28000</v>
      </c>
      <c r="C137" s="27">
        <f t="shared" si="5"/>
        <v>2.430809144655386E-4</v>
      </c>
      <c r="D137" s="13">
        <v>23.992100000000001</v>
      </c>
      <c r="E137" s="13"/>
      <c r="F137" s="13"/>
      <c r="G137" s="12">
        <f>B137*D137</f>
        <v>671778.8</v>
      </c>
      <c r="J137" s="9"/>
      <c r="K137" s="9"/>
      <c r="L137" s="9"/>
      <c r="M137" s="23"/>
    </row>
    <row r="138" spans="1:13" x14ac:dyDescent="0.25">
      <c r="A138" s="5" t="s">
        <v>5</v>
      </c>
      <c r="B138" s="7">
        <v>26243</v>
      </c>
      <c r="C138" s="27">
        <f t="shared" si="5"/>
        <v>2.2782758708282606E-4</v>
      </c>
      <c r="D138" s="14">
        <v>23.9863</v>
      </c>
      <c r="E138" s="14">
        <v>24.24</v>
      </c>
      <c r="F138" s="14">
        <v>23.66</v>
      </c>
      <c r="G138" s="19"/>
      <c r="J138" s="9"/>
      <c r="K138" s="9"/>
      <c r="L138" s="9"/>
      <c r="M138" s="23"/>
    </row>
    <row r="139" spans="1:13" x14ac:dyDescent="0.25">
      <c r="A139" s="6" t="s">
        <v>6</v>
      </c>
      <c r="B139" s="26">
        <v>1757</v>
      </c>
      <c r="C139" s="28">
        <f t="shared" si="5"/>
        <v>1.5253327382712548E-5</v>
      </c>
      <c r="D139" s="15">
        <f>((1550*24.0913)+(207*23.98))/B139</f>
        <v>24.078187250996017</v>
      </c>
      <c r="E139" s="15">
        <v>24.24</v>
      </c>
      <c r="F139" s="15">
        <v>23.98</v>
      </c>
      <c r="G139" s="20"/>
      <c r="J139" s="9"/>
      <c r="K139" s="9"/>
      <c r="L139" s="9"/>
      <c r="M139" s="23"/>
    </row>
    <row r="140" spans="1:13" x14ac:dyDescent="0.25">
      <c r="A140" s="11">
        <v>44698</v>
      </c>
      <c r="B140" s="12">
        <v>28100</v>
      </c>
      <c r="C140" s="27">
        <f t="shared" si="5"/>
        <v>2.4394906058862982E-4</v>
      </c>
      <c r="D140" s="13">
        <v>24.750800000000002</v>
      </c>
      <c r="E140" s="13"/>
      <c r="F140" s="13"/>
      <c r="G140" s="12">
        <f>B140*D140</f>
        <v>695497.4800000001</v>
      </c>
      <c r="J140" s="9"/>
      <c r="K140" s="9"/>
      <c r="L140" s="9"/>
      <c r="M140" s="23"/>
    </row>
    <row r="141" spans="1:13" x14ac:dyDescent="0.25">
      <c r="A141" s="5" t="s">
        <v>5</v>
      </c>
      <c r="B141" s="7">
        <v>23356</v>
      </c>
      <c r="C141" s="27">
        <f t="shared" si="5"/>
        <v>2.0276420850918285E-4</v>
      </c>
      <c r="D141" s="14">
        <v>24.7563</v>
      </c>
      <c r="E141" s="14">
        <v>25</v>
      </c>
      <c r="F141" s="14">
        <v>24.28</v>
      </c>
      <c r="G141" s="19"/>
      <c r="J141" s="9"/>
      <c r="K141" s="9"/>
      <c r="L141" s="9"/>
      <c r="M141" s="23"/>
    </row>
    <row r="142" spans="1:13" x14ac:dyDescent="0.25">
      <c r="A142" s="6" t="s">
        <v>6</v>
      </c>
      <c r="B142" s="26">
        <v>4744</v>
      </c>
      <c r="C142" s="28">
        <f t="shared" si="5"/>
        <v>4.1184852079446969E-5</v>
      </c>
      <c r="D142" s="15">
        <f>((2556*24.6792)+(2163*24.778)+(25*24.6064))/B142</f>
        <v>24.723863659359189</v>
      </c>
      <c r="E142" s="15">
        <v>24.82</v>
      </c>
      <c r="F142" s="15">
        <v>24.6</v>
      </c>
      <c r="G142" s="20"/>
      <c r="J142" s="9"/>
      <c r="K142" s="9"/>
      <c r="L142" s="9"/>
      <c r="M142" s="23"/>
    </row>
    <row r="143" spans="1:13" x14ac:dyDescent="0.25">
      <c r="A143" s="11">
        <v>44699</v>
      </c>
      <c r="B143" s="12">
        <v>28000</v>
      </c>
      <c r="C143" s="27">
        <f t="shared" si="5"/>
        <v>2.430809144655386E-4</v>
      </c>
      <c r="D143" s="13">
        <v>25.0945</v>
      </c>
      <c r="E143" s="13"/>
      <c r="F143" s="13"/>
      <c r="G143" s="12">
        <f>B143*D143</f>
        <v>702646</v>
      </c>
      <c r="J143" s="9"/>
      <c r="K143" s="9"/>
      <c r="L143" s="9"/>
      <c r="M143" s="23"/>
    </row>
    <row r="144" spans="1:13" x14ac:dyDescent="0.25">
      <c r="A144" s="5" t="s">
        <v>5</v>
      </c>
      <c r="B144" s="7">
        <v>25382</v>
      </c>
      <c r="C144" s="27">
        <f t="shared" si="5"/>
        <v>2.2035284896301075E-4</v>
      </c>
      <c r="D144" s="14">
        <v>25.096599999999999</v>
      </c>
      <c r="E144" s="14">
        <v>25.42</v>
      </c>
      <c r="F144" s="14">
        <v>24.72</v>
      </c>
      <c r="G144" s="19"/>
      <c r="J144" s="9"/>
      <c r="K144" s="9"/>
      <c r="L144" s="9"/>
      <c r="M144" s="23"/>
    </row>
    <row r="145" spans="1:13" x14ac:dyDescent="0.25">
      <c r="A145" s="6" t="s">
        <v>6</v>
      </c>
      <c r="B145" s="26">
        <v>2618</v>
      </c>
      <c r="C145" s="28">
        <f t="shared" si="5"/>
        <v>2.272806550252786E-5</v>
      </c>
      <c r="D145" s="15">
        <f>((560*25.0708)+(1854*25.0599)+(204*25.2145))/B145</f>
        <v>25.074278304048889</v>
      </c>
      <c r="E145" s="15">
        <v>25.42</v>
      </c>
      <c r="F145" s="15">
        <v>24.74</v>
      </c>
      <c r="G145" s="20"/>
      <c r="J145" s="9"/>
      <c r="K145" s="9"/>
      <c r="L145" s="9"/>
      <c r="M145" s="23"/>
    </row>
    <row r="146" spans="1:13" x14ac:dyDescent="0.25">
      <c r="A146" s="11">
        <v>44700</v>
      </c>
      <c r="B146" s="12">
        <v>27623</v>
      </c>
      <c r="C146" s="27">
        <f t="shared" si="5"/>
        <v>2.3980800358148474E-4</v>
      </c>
      <c r="D146" s="13">
        <v>24.195</v>
      </c>
      <c r="E146" s="13"/>
      <c r="F146" s="13"/>
      <c r="G146" s="12">
        <f>B146*D146</f>
        <v>668338.48499999999</v>
      </c>
      <c r="J146" s="9"/>
      <c r="K146" s="9"/>
      <c r="L146" s="9"/>
      <c r="M146" s="23"/>
    </row>
    <row r="147" spans="1:13" x14ac:dyDescent="0.25">
      <c r="A147" s="5" t="s">
        <v>5</v>
      </c>
      <c r="B147" s="7">
        <v>25271</v>
      </c>
      <c r="C147" s="27">
        <f t="shared" si="5"/>
        <v>2.193892067663795E-4</v>
      </c>
      <c r="D147" s="14">
        <v>24.198399999999999</v>
      </c>
      <c r="E147" s="14">
        <v>24.6</v>
      </c>
      <c r="F147" s="14">
        <v>23.94</v>
      </c>
      <c r="G147" s="19"/>
      <c r="J147" s="9"/>
      <c r="K147" s="9"/>
      <c r="L147" s="9"/>
      <c r="M147" s="23"/>
    </row>
    <row r="148" spans="1:13" x14ac:dyDescent="0.25">
      <c r="A148" s="6" t="s">
        <v>6</v>
      </c>
      <c r="B148" s="26">
        <v>2352</v>
      </c>
      <c r="C148" s="28">
        <f t="shared" si="5"/>
        <v>2.0418796815105244E-5</v>
      </c>
      <c r="D148" s="15">
        <f>((378*24.06)+(1284*24.2071)+(690*24.1229))/B148</f>
        <v>24.158757397959185</v>
      </c>
      <c r="E148" s="15">
        <v>24.26</v>
      </c>
      <c r="F148" s="15">
        <v>24</v>
      </c>
      <c r="G148" s="20"/>
      <c r="J148" s="9"/>
      <c r="K148" s="9"/>
      <c r="L148" s="9"/>
      <c r="M148" s="23"/>
    </row>
    <row r="149" spans="1:13" x14ac:dyDescent="0.25">
      <c r="A149" s="11">
        <v>44701</v>
      </c>
      <c r="B149" s="12">
        <v>28000</v>
      </c>
      <c r="C149" s="27">
        <f t="shared" si="5"/>
        <v>2.430809144655386E-4</v>
      </c>
      <c r="D149" s="13">
        <v>24.6296</v>
      </c>
      <c r="E149" s="13"/>
      <c r="F149" s="13"/>
      <c r="G149" s="12">
        <f>B149*D149</f>
        <v>689628.8</v>
      </c>
      <c r="J149" s="9"/>
      <c r="K149" s="9"/>
      <c r="L149" s="9"/>
      <c r="M149" s="23"/>
    </row>
    <row r="150" spans="1:13" x14ac:dyDescent="0.25">
      <c r="A150" s="5" t="s">
        <v>5</v>
      </c>
      <c r="B150" s="7">
        <v>23154</v>
      </c>
      <c r="C150" s="27">
        <f t="shared" si="5"/>
        <v>2.0101055334053859E-4</v>
      </c>
      <c r="D150" s="14">
        <v>24.610199999999999</v>
      </c>
      <c r="E150" s="14">
        <v>24.98</v>
      </c>
      <c r="F150" s="14">
        <v>24.08</v>
      </c>
      <c r="G150" s="19"/>
      <c r="J150" s="9"/>
      <c r="K150" s="9"/>
      <c r="L150" s="9"/>
      <c r="M150" s="23"/>
    </row>
    <row r="151" spans="1:13" x14ac:dyDescent="0.25">
      <c r="A151" s="6" t="s">
        <v>6</v>
      </c>
      <c r="B151" s="26">
        <v>4846</v>
      </c>
      <c r="C151" s="28">
        <f t="shared" si="5"/>
        <v>4.2070361125000002E-5</v>
      </c>
      <c r="D151" s="15">
        <f>((1512*24.8006)+(1446*24.6486)+(24.7159*1888))/B151</f>
        <v>24.722245563351215</v>
      </c>
      <c r="E151" s="15">
        <v>24.94</v>
      </c>
      <c r="F151" s="15">
        <v>24.12</v>
      </c>
      <c r="G151" s="20"/>
      <c r="J151" s="9"/>
      <c r="K151" s="9"/>
      <c r="L151" s="9"/>
      <c r="M151" s="23"/>
    </row>
    <row r="152" spans="1:13" x14ac:dyDescent="0.25">
      <c r="A152" s="11">
        <v>44704</v>
      </c>
      <c r="B152" s="12">
        <v>28200</v>
      </c>
      <c r="C152" s="27">
        <f t="shared" si="5"/>
        <v>2.4481720671172102E-4</v>
      </c>
      <c r="D152" s="13">
        <v>24.660599999999999</v>
      </c>
      <c r="E152" s="13"/>
      <c r="F152" s="13"/>
      <c r="G152" s="12">
        <f>B152*D152</f>
        <v>695428.91999999993</v>
      </c>
      <c r="J152" s="9"/>
      <c r="K152" s="9"/>
      <c r="L152" s="9"/>
      <c r="M152" s="23"/>
    </row>
    <row r="153" spans="1:13" x14ac:dyDescent="0.25">
      <c r="A153" s="5" t="s">
        <v>5</v>
      </c>
      <c r="B153" s="7">
        <v>18867</v>
      </c>
      <c r="C153" s="27">
        <f t="shared" si="5"/>
        <v>1.6379312904361845E-4</v>
      </c>
      <c r="D153" s="14">
        <v>24.651700000000002</v>
      </c>
      <c r="E153" s="14">
        <v>24.86</v>
      </c>
      <c r="F153" s="14">
        <v>24.4</v>
      </c>
      <c r="G153" s="19"/>
      <c r="J153" s="9"/>
      <c r="K153" s="9"/>
      <c r="L153" s="9"/>
      <c r="M153" s="23"/>
    </row>
    <row r="154" spans="1:13" x14ac:dyDescent="0.25">
      <c r="A154" s="6" t="s">
        <v>6</v>
      </c>
      <c r="B154" s="26">
        <v>9333</v>
      </c>
      <c r="C154" s="28">
        <f t="shared" si="5"/>
        <v>8.1024077668102569E-5</v>
      </c>
      <c r="D154" s="15">
        <f>((3743*24.7225)+(4818*24.6482)+(772*24.6556))/B154</f>
        <v>24.678610125361622</v>
      </c>
      <c r="E154" s="15">
        <v>24.8</v>
      </c>
      <c r="F154" s="15">
        <v>24.42</v>
      </c>
      <c r="G154" s="20"/>
      <c r="J154" s="9"/>
      <c r="K154" s="9"/>
      <c r="L154" s="9"/>
      <c r="M154" s="23"/>
    </row>
    <row r="155" spans="1:13" x14ac:dyDescent="0.25">
      <c r="A155" s="11">
        <v>44705</v>
      </c>
      <c r="B155" s="12">
        <v>28175</v>
      </c>
      <c r="C155" s="27">
        <f t="shared" si="5"/>
        <v>2.446001701809482E-4</v>
      </c>
      <c r="D155" s="13">
        <v>24.755500000000001</v>
      </c>
      <c r="E155" s="13"/>
      <c r="F155" s="13"/>
      <c r="G155" s="12">
        <f>B155*D155</f>
        <v>697486.21250000002</v>
      </c>
      <c r="J155" s="9"/>
      <c r="K155" s="9"/>
      <c r="L155" s="9"/>
      <c r="M155" s="23"/>
    </row>
    <row r="156" spans="1:13" x14ac:dyDescent="0.25">
      <c r="A156" s="5" t="s">
        <v>5</v>
      </c>
      <c r="B156" s="7">
        <v>24371</v>
      </c>
      <c r="C156" s="27">
        <f t="shared" si="5"/>
        <v>2.1157589165855863E-4</v>
      </c>
      <c r="D156" s="14">
        <f>24.749</f>
        <v>24.748999999999999</v>
      </c>
      <c r="E156" s="14">
        <v>25</v>
      </c>
      <c r="F156" s="14">
        <v>24.44</v>
      </c>
      <c r="G156" s="19"/>
      <c r="J156" s="9"/>
      <c r="K156" s="9"/>
      <c r="L156" s="9"/>
      <c r="M156" s="23"/>
    </row>
    <row r="157" spans="1:13" x14ac:dyDescent="0.25">
      <c r="A157" s="6" t="s">
        <v>6</v>
      </c>
      <c r="B157" s="26">
        <v>3804</v>
      </c>
      <c r="C157" s="28">
        <f t="shared" si="5"/>
        <v>3.3024278522389601E-5</v>
      </c>
      <c r="D157" s="15">
        <f>((183*24.68)+(3621*24.8028))/B157</f>
        <v>24.796892429022083</v>
      </c>
      <c r="E157" s="15">
        <v>25</v>
      </c>
      <c r="F157" s="15">
        <v>24.6</v>
      </c>
      <c r="G157" s="20"/>
      <c r="J157" s="9"/>
      <c r="K157" s="9"/>
      <c r="L157" s="9"/>
      <c r="M157" s="23"/>
    </row>
    <row r="158" spans="1:13" x14ac:dyDescent="0.25">
      <c r="A158" s="11">
        <v>44706</v>
      </c>
      <c r="B158" s="12">
        <v>28175</v>
      </c>
      <c r="C158" s="27">
        <f t="shared" si="5"/>
        <v>2.446001701809482E-4</v>
      </c>
      <c r="D158" s="13">
        <v>24.855799999999999</v>
      </c>
      <c r="E158" s="13"/>
      <c r="F158" s="13"/>
      <c r="G158" s="12">
        <f>B158*D158</f>
        <v>700312.16499999992</v>
      </c>
      <c r="J158" s="9"/>
      <c r="K158" s="9"/>
      <c r="L158" s="9"/>
      <c r="M158" s="23"/>
    </row>
    <row r="159" spans="1:13" x14ac:dyDescent="0.25">
      <c r="A159" s="5" t="s">
        <v>5</v>
      </c>
      <c r="B159" s="7">
        <v>20204</v>
      </c>
      <c r="C159" s="27">
        <f t="shared" ref="C159:C169" si="6">B159/$M$4</f>
        <v>1.7540024270934793E-4</v>
      </c>
      <c r="D159" s="14">
        <v>24.798100000000002</v>
      </c>
      <c r="E159" s="14">
        <v>25.2</v>
      </c>
      <c r="F159" s="14">
        <v>24.5</v>
      </c>
      <c r="G159" s="19"/>
      <c r="J159" s="9"/>
      <c r="K159" s="9"/>
      <c r="L159" s="9"/>
      <c r="M159" s="23"/>
    </row>
    <row r="160" spans="1:13" x14ac:dyDescent="0.25">
      <c r="A160" s="6" t="s">
        <v>6</v>
      </c>
      <c r="B160" s="26">
        <v>7971</v>
      </c>
      <c r="C160" s="28">
        <f t="shared" si="6"/>
        <v>6.9199927471600293E-5</v>
      </c>
      <c r="D160" s="15">
        <f>((2928*25.0297)+(4578*24.9937)+(465*24.9106))/B160</f>
        <v>25.002076176138502</v>
      </c>
      <c r="E160" s="15">
        <v>25.2</v>
      </c>
      <c r="F160" s="15">
        <v>24.58</v>
      </c>
      <c r="G160" s="20"/>
      <c r="J160" s="9"/>
      <c r="K160" s="9"/>
      <c r="L160" s="9"/>
      <c r="M160" s="23"/>
    </row>
    <row r="161" spans="1:13" x14ac:dyDescent="0.25">
      <c r="A161" s="11">
        <v>44707</v>
      </c>
      <c r="B161" s="12">
        <v>28175</v>
      </c>
      <c r="C161" s="27">
        <f t="shared" si="6"/>
        <v>2.446001701809482E-4</v>
      </c>
      <c r="D161" s="13">
        <v>25.385000000000002</v>
      </c>
      <c r="E161" s="13"/>
      <c r="F161" s="13"/>
      <c r="G161" s="12">
        <f>B161*D161</f>
        <v>715222.375</v>
      </c>
      <c r="J161" s="9"/>
      <c r="K161" s="9"/>
      <c r="L161" s="9"/>
      <c r="M161" s="23"/>
    </row>
    <row r="162" spans="1:13" x14ac:dyDescent="0.25">
      <c r="A162" s="5" t="s">
        <v>5</v>
      </c>
      <c r="B162" s="7">
        <v>16400</v>
      </c>
      <c r="C162" s="27">
        <f t="shared" si="6"/>
        <v>1.4237596418695833E-4</v>
      </c>
      <c r="D162" s="14">
        <v>25.353999999999999</v>
      </c>
      <c r="E162" s="14">
        <v>25.52</v>
      </c>
      <c r="F162" s="14">
        <v>25.2</v>
      </c>
      <c r="G162" s="19"/>
      <c r="J162" s="9"/>
      <c r="K162" s="9"/>
      <c r="L162" s="9"/>
      <c r="M162" s="23"/>
    </row>
    <row r="163" spans="1:13" x14ac:dyDescent="0.25">
      <c r="A163" s="6" t="s">
        <v>6</v>
      </c>
      <c r="B163" s="26">
        <v>11775</v>
      </c>
      <c r="C163" s="28">
        <f t="shared" si="6"/>
        <v>1.0222420599398989E-4</v>
      </c>
      <c r="D163" s="15">
        <f>((3657*25.3229)+(6698*25.4845)+(1420*25.4339))/B163</f>
        <v>25.428209282377921</v>
      </c>
      <c r="E163" s="15">
        <v>25.56</v>
      </c>
      <c r="F163" s="15">
        <v>25.26</v>
      </c>
      <c r="G163" s="20"/>
      <c r="J163" s="9"/>
      <c r="K163" s="9"/>
      <c r="L163" s="9"/>
      <c r="M163" s="23"/>
    </row>
    <row r="164" spans="1:13" x14ac:dyDescent="0.25">
      <c r="A164" s="11">
        <v>44708</v>
      </c>
      <c r="B164" s="12">
        <v>28175</v>
      </c>
      <c r="C164" s="27">
        <f t="shared" si="6"/>
        <v>2.446001701809482E-4</v>
      </c>
      <c r="D164" s="13">
        <v>25.767600000000002</v>
      </c>
      <c r="E164" s="13"/>
      <c r="F164" s="13"/>
      <c r="G164" s="12">
        <f>B164*D164</f>
        <v>726002.13</v>
      </c>
      <c r="J164" s="9"/>
      <c r="K164" s="9"/>
      <c r="L164" s="9"/>
      <c r="M164" s="23"/>
    </row>
    <row r="165" spans="1:13" x14ac:dyDescent="0.25">
      <c r="A165" s="5" t="s">
        <v>5</v>
      </c>
      <c r="B165" s="7">
        <v>16937</v>
      </c>
      <c r="C165" s="27">
        <f t="shared" si="6"/>
        <v>1.4703790886795812E-4</v>
      </c>
      <c r="D165" s="14">
        <v>25.735099999999999</v>
      </c>
      <c r="E165" s="14">
        <v>25.98</v>
      </c>
      <c r="F165" s="14">
        <v>25.32</v>
      </c>
      <c r="G165" s="19"/>
      <c r="J165" s="9"/>
      <c r="K165" s="9"/>
      <c r="L165" s="9"/>
      <c r="M165" s="23"/>
    </row>
    <row r="166" spans="1:13" x14ac:dyDescent="0.25">
      <c r="A166" s="6" t="s">
        <v>6</v>
      </c>
      <c r="B166" s="26">
        <v>11238</v>
      </c>
      <c r="C166" s="28">
        <f t="shared" si="6"/>
        <v>9.7562261312990098E-5</v>
      </c>
      <c r="D166" s="15">
        <f>((2993*25.7849)+(5335*25.8096)+(2910*25.8623))/B166</f>
        <v>25.816667974728599</v>
      </c>
      <c r="E166" s="15">
        <v>25.94</v>
      </c>
      <c r="F166" s="15">
        <v>25.22</v>
      </c>
      <c r="G166" s="20"/>
      <c r="J166" s="9"/>
      <c r="K166" s="9"/>
      <c r="L166" s="9"/>
      <c r="M166" s="23"/>
    </row>
    <row r="167" spans="1:13" x14ac:dyDescent="0.25">
      <c r="A167" s="11">
        <v>44711</v>
      </c>
      <c r="B167" s="12">
        <v>28175</v>
      </c>
      <c r="C167" s="27">
        <f t="shared" si="6"/>
        <v>2.446001701809482E-4</v>
      </c>
      <c r="D167" s="13">
        <v>26.0351</v>
      </c>
      <c r="E167" s="13"/>
      <c r="F167" s="13"/>
      <c r="G167" s="12">
        <f>B167*D167</f>
        <v>733538.9425</v>
      </c>
      <c r="J167" s="9"/>
      <c r="K167" s="9"/>
      <c r="L167" s="9"/>
      <c r="M167" s="23"/>
    </row>
    <row r="168" spans="1:13" x14ac:dyDescent="0.25">
      <c r="A168" s="5" t="s">
        <v>5</v>
      </c>
      <c r="B168" s="7">
        <v>24270</v>
      </c>
      <c r="C168" s="27">
        <f t="shared" si="6"/>
        <v>2.1069906407423649E-4</v>
      </c>
      <c r="D168" s="14">
        <v>26.054839719818698</v>
      </c>
      <c r="E168" s="14">
        <v>26.44</v>
      </c>
      <c r="F168" s="14">
        <v>25.82</v>
      </c>
      <c r="G168" s="19"/>
      <c r="J168" s="9"/>
      <c r="K168" s="9"/>
      <c r="L168" s="9"/>
      <c r="M168" s="23"/>
    </row>
    <row r="169" spans="1:13" x14ac:dyDescent="0.25">
      <c r="A169" s="6" t="s">
        <v>6</v>
      </c>
      <c r="B169" s="26">
        <v>3905</v>
      </c>
      <c r="C169" s="28">
        <f t="shared" si="6"/>
        <v>3.3901106106711721E-5</v>
      </c>
      <c r="D169" s="15">
        <f>((1693*25.9269)+(2046*25.9028)+(166*25.88))/B169</f>
        <v>25.912279257362353</v>
      </c>
      <c r="E169" s="15">
        <v>26.26</v>
      </c>
      <c r="F169" s="15">
        <v>25.84</v>
      </c>
      <c r="G169" s="20"/>
      <c r="J169" s="9"/>
      <c r="K169" s="9"/>
      <c r="L169" s="9"/>
      <c r="M169" s="23"/>
    </row>
    <row r="170" spans="1:13" x14ac:dyDescent="0.25">
      <c r="A170" s="11">
        <v>44712</v>
      </c>
      <c r="B170" s="12">
        <v>28175</v>
      </c>
      <c r="C170" s="27">
        <f t="shared" ref="C170:C178" si="7">B170/$M$4</f>
        <v>2.446001701809482E-4</v>
      </c>
      <c r="D170" s="13">
        <v>25.655000000000001</v>
      </c>
      <c r="E170" s="13"/>
      <c r="F170" s="13"/>
      <c r="G170" s="12">
        <f>B170*D170</f>
        <v>722829.625</v>
      </c>
      <c r="J170" s="9"/>
      <c r="K170" s="9"/>
      <c r="L170" s="9"/>
      <c r="M170" s="23"/>
    </row>
    <row r="171" spans="1:13" x14ac:dyDescent="0.25">
      <c r="A171" s="5" t="s">
        <v>5</v>
      </c>
      <c r="B171" s="7">
        <v>21126</v>
      </c>
      <c r="C171" s="27">
        <f t="shared" si="7"/>
        <v>1.8340454996424889E-4</v>
      </c>
      <c r="D171" s="14">
        <v>25.655866704534699</v>
      </c>
      <c r="E171" s="14">
        <v>25.84</v>
      </c>
      <c r="F171" s="14">
        <v>25.42</v>
      </c>
      <c r="G171" s="19"/>
      <c r="J171" s="9"/>
      <c r="K171" s="9"/>
      <c r="L171" s="9"/>
      <c r="M171" s="23"/>
    </row>
    <row r="172" spans="1:13" x14ac:dyDescent="0.25">
      <c r="A172" s="6" t="s">
        <v>6</v>
      </c>
      <c r="B172" s="26">
        <v>7049</v>
      </c>
      <c r="C172" s="28">
        <f t="shared" si="7"/>
        <v>6.1195620216699341E-5</v>
      </c>
      <c r="D172" s="15">
        <f>((668*25.6659)+(4648*25.666)+(1733*25.6103))/B172</f>
        <v>25.652296652007376</v>
      </c>
      <c r="E172" s="15">
        <v>25.78</v>
      </c>
      <c r="F172" s="15">
        <v>25.54</v>
      </c>
      <c r="G172" s="20"/>
      <c r="J172" s="9"/>
      <c r="K172" s="9"/>
      <c r="L172" s="9"/>
      <c r="M172" s="23"/>
    </row>
    <row r="173" spans="1:13" x14ac:dyDescent="0.25">
      <c r="A173" s="11">
        <v>44713</v>
      </c>
      <c r="B173" s="12">
        <v>28175</v>
      </c>
      <c r="C173" s="27">
        <f t="shared" si="7"/>
        <v>2.446001701809482E-4</v>
      </c>
      <c r="D173" s="13">
        <v>25.565300000000001</v>
      </c>
      <c r="E173" s="13"/>
      <c r="F173" s="13"/>
      <c r="G173" s="12">
        <f>B173*D173</f>
        <v>720302.32750000001</v>
      </c>
      <c r="J173" s="9"/>
      <c r="K173" s="9"/>
      <c r="L173" s="9"/>
      <c r="M173" s="23"/>
    </row>
    <row r="174" spans="1:13" x14ac:dyDescent="0.25">
      <c r="A174" s="5" t="s">
        <v>5</v>
      </c>
      <c r="B174" s="7">
        <v>20731</v>
      </c>
      <c r="C174" s="27">
        <f t="shared" si="7"/>
        <v>1.7997537277803861E-4</v>
      </c>
      <c r="D174" s="14">
        <v>25.571612560899101</v>
      </c>
      <c r="E174" s="14">
        <v>25.9</v>
      </c>
      <c r="F174" s="14">
        <v>25.36</v>
      </c>
      <c r="G174" s="19"/>
      <c r="J174" s="9"/>
      <c r="K174" s="9"/>
      <c r="L174" s="9"/>
      <c r="M174" s="23"/>
    </row>
    <row r="175" spans="1:13" x14ac:dyDescent="0.25">
      <c r="A175" s="6" t="s">
        <v>6</v>
      </c>
      <c r="B175" s="26">
        <v>7444</v>
      </c>
      <c r="C175" s="28">
        <f t="shared" si="7"/>
        <v>6.4624797402909622E-5</v>
      </c>
      <c r="D175" s="15">
        <f>((1419*25.5854)+(2284*25.5131)+(3741*25.5548))/B175</f>
        <v>25.547838500806019</v>
      </c>
      <c r="E175" s="15">
        <v>25.7</v>
      </c>
      <c r="F175" s="15">
        <v>25.38</v>
      </c>
      <c r="G175" s="20"/>
      <c r="J175" s="9"/>
      <c r="K175" s="9"/>
      <c r="L175" s="9"/>
      <c r="M175" s="23"/>
    </row>
    <row r="176" spans="1:13" x14ac:dyDescent="0.25">
      <c r="A176" s="11">
        <v>44714</v>
      </c>
      <c r="B176" s="12">
        <v>28175</v>
      </c>
      <c r="C176" s="27">
        <f t="shared" si="7"/>
        <v>2.446001701809482E-4</v>
      </c>
      <c r="D176" s="13">
        <v>25.328099999999999</v>
      </c>
      <c r="E176" s="13"/>
      <c r="F176" s="13"/>
      <c r="G176" s="12">
        <f>B176*D176</f>
        <v>713619.21750000003</v>
      </c>
      <c r="J176" s="9"/>
      <c r="K176" s="9"/>
      <c r="L176" s="9"/>
      <c r="M176" s="23"/>
    </row>
    <row r="177" spans="1:13" x14ac:dyDescent="0.25">
      <c r="A177" s="5" t="s">
        <v>5</v>
      </c>
      <c r="B177" s="7">
        <v>22834</v>
      </c>
      <c r="C177" s="27">
        <f t="shared" si="7"/>
        <v>1.9823248574664672E-4</v>
      </c>
      <c r="D177" s="14">
        <v>25.312440220723499</v>
      </c>
      <c r="E177" s="14">
        <v>25.56</v>
      </c>
      <c r="F177" s="14">
        <v>25.04</v>
      </c>
      <c r="G177" s="19"/>
      <c r="J177" s="9"/>
      <c r="K177" s="9"/>
      <c r="L177" s="9"/>
      <c r="M177" s="23"/>
    </row>
    <row r="178" spans="1:13" x14ac:dyDescent="0.25">
      <c r="A178" s="6" t="s">
        <v>6</v>
      </c>
      <c r="B178" s="26">
        <v>5341</v>
      </c>
      <c r="C178" s="28">
        <f t="shared" si="7"/>
        <v>4.636768443430149E-5</v>
      </c>
      <c r="D178" s="15">
        <f>((1538*25.3654)+(2226*25.4641)+(1577*25.3264))/B178</f>
        <v>25.395020520501781</v>
      </c>
      <c r="E178" s="15">
        <v>25.54</v>
      </c>
      <c r="F178" s="15">
        <v>25.2</v>
      </c>
      <c r="G178" s="20"/>
      <c r="J178" s="9"/>
      <c r="K178" s="9"/>
      <c r="L178" s="9"/>
      <c r="M178" s="23"/>
    </row>
    <row r="179" spans="1:13" x14ac:dyDescent="0.25">
      <c r="A179" s="11">
        <v>44715</v>
      </c>
      <c r="B179" s="12">
        <v>28600</v>
      </c>
      <c r="C179" s="27">
        <f t="shared" ref="C179:C181" si="8">B179/$M$4</f>
        <v>2.4828979120408587E-4</v>
      </c>
      <c r="D179" s="13">
        <v>25.3626</v>
      </c>
      <c r="E179" s="13"/>
      <c r="F179" s="13"/>
      <c r="G179" s="12">
        <f>B179*D179</f>
        <v>725370.36</v>
      </c>
    </row>
    <row r="180" spans="1:13" x14ac:dyDescent="0.25">
      <c r="A180" s="5" t="s">
        <v>5</v>
      </c>
      <c r="B180" s="7">
        <v>21721</v>
      </c>
      <c r="C180" s="27">
        <f t="shared" si="8"/>
        <v>1.8857001939664157E-4</v>
      </c>
      <c r="D180" s="14">
        <v>25.3647502417016</v>
      </c>
      <c r="E180" s="14">
        <v>25.62</v>
      </c>
      <c r="F180" s="14">
        <v>25.24</v>
      </c>
      <c r="G180" s="19"/>
    </row>
    <row r="181" spans="1:13" x14ac:dyDescent="0.25">
      <c r="A181" s="6" t="s">
        <v>6</v>
      </c>
      <c r="B181" s="26">
        <v>6879</v>
      </c>
      <c r="C181" s="28">
        <f t="shared" si="8"/>
        <v>5.9719771807444285E-5</v>
      </c>
      <c r="D181" s="15">
        <f>((3145*25.3448)+(3545*25.37)+(189*25.2808))/B181</f>
        <v>25.35602808547754</v>
      </c>
      <c r="E181" s="15">
        <v>25.66</v>
      </c>
      <c r="F181" s="15">
        <v>25.26</v>
      </c>
      <c r="G181" s="20"/>
    </row>
    <row r="182" spans="1:13" x14ac:dyDescent="0.25">
      <c r="A182" s="11">
        <v>44719</v>
      </c>
      <c r="B182" s="12">
        <v>28600</v>
      </c>
      <c r="C182" s="27">
        <f t="shared" ref="C182:C184" si="9">B182/$M$4</f>
        <v>2.4828979120408587E-4</v>
      </c>
      <c r="D182" s="13">
        <v>25.372699999999998</v>
      </c>
      <c r="E182" s="13"/>
      <c r="F182" s="13"/>
      <c r="G182" s="12">
        <f>B182*D182</f>
        <v>725659.22</v>
      </c>
    </row>
    <row r="183" spans="1:13" x14ac:dyDescent="0.25">
      <c r="A183" s="5" t="s">
        <v>5</v>
      </c>
      <c r="B183" s="7">
        <v>24568</v>
      </c>
      <c r="C183" s="27">
        <f t="shared" si="9"/>
        <v>2.1328613952104831E-4</v>
      </c>
      <c r="D183" s="14">
        <v>25.364451318788699</v>
      </c>
      <c r="E183" s="14">
        <v>25.62</v>
      </c>
      <c r="F183" s="14">
        <v>25.1</v>
      </c>
      <c r="G183" s="19"/>
    </row>
    <row r="184" spans="1:13" x14ac:dyDescent="0.25">
      <c r="A184" s="6" t="s">
        <v>6</v>
      </c>
      <c r="B184" s="26">
        <v>4032</v>
      </c>
      <c r="C184" s="28">
        <f t="shared" si="9"/>
        <v>3.5003651683037561E-5</v>
      </c>
      <c r="D184" s="15">
        <f>+((731*25.4846+3146*25.4161+155*25.2712)/(731+3146+155))</f>
        <v>25.422948710317463</v>
      </c>
      <c r="E184" s="15">
        <v>25.62</v>
      </c>
      <c r="F184" s="15">
        <v>25.2</v>
      </c>
      <c r="G184" s="20"/>
    </row>
    <row r="185" spans="1:13" x14ac:dyDescent="0.25">
      <c r="A185" s="11">
        <v>44720</v>
      </c>
      <c r="B185" s="12">
        <v>28550</v>
      </c>
      <c r="C185" s="27">
        <f t="shared" ref="C185:C196" si="10">B185/$M$4</f>
        <v>2.4785571814254023E-4</v>
      </c>
      <c r="D185" s="13">
        <v>25.378399999999999</v>
      </c>
      <c r="E185" s="13"/>
      <c r="F185" s="13"/>
      <c r="G185" s="12">
        <f>B185*D185</f>
        <v>724553.32</v>
      </c>
    </row>
    <row r="186" spans="1:13" x14ac:dyDescent="0.25">
      <c r="A186" s="5" t="s">
        <v>5</v>
      </c>
      <c r="B186" s="7">
        <v>21206</v>
      </c>
      <c r="C186" s="27">
        <f t="shared" si="10"/>
        <v>1.8409906686272183E-4</v>
      </c>
      <c r="D186" s="14">
        <v>25.3733811185514</v>
      </c>
      <c r="E186" s="14">
        <v>25.66</v>
      </c>
      <c r="F186" s="14">
        <v>25.24</v>
      </c>
      <c r="G186" s="19"/>
    </row>
    <row r="187" spans="1:13" x14ac:dyDescent="0.25">
      <c r="A187" s="6" t="s">
        <v>6</v>
      </c>
      <c r="B187" s="26">
        <v>7344</v>
      </c>
      <c r="C187" s="28">
        <f t="shared" si="10"/>
        <v>6.375665127981841E-5</v>
      </c>
      <c r="D187" s="15">
        <f>+((2480*25.3604+4584*25.4089+280*25.4196)/(2480+4584+280))</f>
        <v>25.392929956427015</v>
      </c>
      <c r="E187" s="15">
        <v>25.48</v>
      </c>
      <c r="F187" s="15">
        <v>25.3</v>
      </c>
      <c r="G187" s="20"/>
    </row>
    <row r="188" spans="1:13" x14ac:dyDescent="0.25">
      <c r="A188" s="11">
        <v>44721</v>
      </c>
      <c r="B188" s="12">
        <v>28600</v>
      </c>
      <c r="C188" s="27">
        <f t="shared" si="10"/>
        <v>2.4828979120408587E-4</v>
      </c>
      <c r="D188" s="13">
        <v>25.3309</v>
      </c>
      <c r="E188" s="13"/>
      <c r="F188" s="13"/>
      <c r="G188" s="12">
        <f>B188*D188</f>
        <v>724463.74</v>
      </c>
    </row>
    <row r="189" spans="1:13" x14ac:dyDescent="0.25">
      <c r="A189" s="5" t="s">
        <v>5</v>
      </c>
      <c r="B189" s="7">
        <v>23431</v>
      </c>
      <c r="C189" s="27">
        <f t="shared" si="10"/>
        <v>2.0341531810150125E-4</v>
      </c>
      <c r="D189" s="14">
        <v>25.3277700482267</v>
      </c>
      <c r="E189" s="14">
        <v>25.54</v>
      </c>
      <c r="F189" s="14">
        <v>24.92</v>
      </c>
      <c r="G189" s="19"/>
    </row>
    <row r="190" spans="1:13" x14ac:dyDescent="0.25">
      <c r="A190" s="6" t="s">
        <v>6</v>
      </c>
      <c r="B190" s="26">
        <v>5169</v>
      </c>
      <c r="C190" s="28">
        <f t="shared" si="10"/>
        <v>4.4874473102584606E-5</v>
      </c>
      <c r="D190" s="15">
        <f>+(2826*25.2393+2343*25.4728)/(2343+2826)</f>
        <v>25.345140684852002</v>
      </c>
      <c r="E190" s="15">
        <v>25.54</v>
      </c>
      <c r="F190" s="15">
        <v>25.1</v>
      </c>
      <c r="G190" s="20"/>
    </row>
    <row r="191" spans="1:13" x14ac:dyDescent="0.25">
      <c r="A191" s="11">
        <v>44722</v>
      </c>
      <c r="B191" s="12">
        <v>114000</v>
      </c>
      <c r="C191" s="27">
        <f t="shared" si="10"/>
        <v>9.8968658032397858E-4</v>
      </c>
      <c r="D191" s="13">
        <v>24.12</v>
      </c>
      <c r="E191" s="13"/>
      <c r="F191" s="13"/>
      <c r="G191" s="12">
        <f>B191*D191</f>
        <v>2749680</v>
      </c>
    </row>
    <row r="192" spans="1:13" x14ac:dyDescent="0.25">
      <c r="A192" s="5" t="s">
        <v>5</v>
      </c>
      <c r="B192" s="7">
        <v>76566</v>
      </c>
      <c r="C192" s="27">
        <f t="shared" si="10"/>
        <v>6.6470476060601536E-4</v>
      </c>
      <c r="D192" s="14">
        <v>24.1150181542721</v>
      </c>
      <c r="E192" s="14">
        <v>24.94</v>
      </c>
      <c r="F192" s="14">
        <v>23.86</v>
      </c>
      <c r="G192" s="19"/>
    </row>
    <row r="193" spans="1:7" x14ac:dyDescent="0.25">
      <c r="A193" s="6" t="s">
        <v>6</v>
      </c>
      <c r="B193" s="26">
        <v>37434</v>
      </c>
      <c r="C193" s="28">
        <f t="shared" si="10"/>
        <v>3.2498181971796328E-4</v>
      </c>
      <c r="D193" s="15">
        <f>+(8630*24.1686+25361*24.111+3443*24.1756)/(8630+25361+3443)</f>
        <v>24.130220649676765</v>
      </c>
      <c r="E193" s="15">
        <v>24.42</v>
      </c>
      <c r="F193" s="15">
        <v>23.86</v>
      </c>
      <c r="G193" s="20"/>
    </row>
    <row r="194" spans="1:7" x14ac:dyDescent="0.25">
      <c r="A194" s="11">
        <v>44725</v>
      </c>
      <c r="B194" s="12">
        <v>101000</v>
      </c>
      <c r="C194" s="27">
        <f t="shared" si="10"/>
        <v>8.7682758432212134E-4</v>
      </c>
      <c r="D194" s="13">
        <v>23.5411</v>
      </c>
      <c r="E194" s="13"/>
      <c r="F194" s="13"/>
      <c r="G194" s="12">
        <f>B194*D194</f>
        <v>2377651.1</v>
      </c>
    </row>
    <row r="195" spans="1:7" x14ac:dyDescent="0.25">
      <c r="A195" s="5" t="s">
        <v>5</v>
      </c>
      <c r="B195" s="7">
        <v>67784</v>
      </c>
      <c r="C195" s="27">
        <f t="shared" si="10"/>
        <v>5.8846416807614526E-4</v>
      </c>
      <c r="D195" s="14">
        <v>23.537600000000001</v>
      </c>
      <c r="E195" s="14">
        <v>23.82</v>
      </c>
      <c r="F195" s="14">
        <v>23.3</v>
      </c>
      <c r="G195" s="19"/>
    </row>
    <row r="196" spans="1:7" x14ac:dyDescent="0.25">
      <c r="A196" s="6" t="s">
        <v>6</v>
      </c>
      <c r="B196" s="26">
        <v>33216</v>
      </c>
      <c r="C196" s="28">
        <f t="shared" si="10"/>
        <v>2.8836341624597609E-4</v>
      </c>
      <c r="D196" s="15">
        <f>((8084*23.5377)+(21835*23.5501)+(3297*23.5624))/B196</f>
        <v>23.548303019629095</v>
      </c>
      <c r="E196" s="15">
        <v>23.82</v>
      </c>
      <c r="F196" s="15">
        <v>23.3</v>
      </c>
      <c r="G196" s="20"/>
    </row>
    <row r="197" spans="1:7" x14ac:dyDescent="0.25">
      <c r="A197" s="11">
        <v>44726</v>
      </c>
      <c r="B197" s="12">
        <v>100500</v>
      </c>
      <c r="C197" s="27">
        <f t="shared" ref="C197:C199" si="11">B197/$M$4</f>
        <v>8.7248685370666537E-4</v>
      </c>
      <c r="D197" s="13">
        <v>23.430099999999999</v>
      </c>
      <c r="E197" s="13"/>
      <c r="F197" s="13"/>
      <c r="G197" s="12">
        <f>B197*D197</f>
        <v>2354725.0499999998</v>
      </c>
    </row>
    <row r="198" spans="1:7" x14ac:dyDescent="0.25">
      <c r="A198" s="5" t="s">
        <v>5</v>
      </c>
      <c r="B198" s="7">
        <v>68458</v>
      </c>
      <c r="C198" s="27">
        <f t="shared" si="11"/>
        <v>5.9431547294578008E-4</v>
      </c>
      <c r="D198" s="14">
        <v>23.4238</v>
      </c>
      <c r="E198" s="14">
        <v>23.68</v>
      </c>
      <c r="F198" s="14">
        <v>23.16</v>
      </c>
      <c r="G198" s="19"/>
    </row>
    <row r="199" spans="1:7" x14ac:dyDescent="0.25">
      <c r="A199" s="6" t="s">
        <v>6</v>
      </c>
      <c r="B199" s="26">
        <v>32042</v>
      </c>
      <c r="C199" s="28">
        <f t="shared" si="11"/>
        <v>2.781713807608853E-4</v>
      </c>
      <c r="D199" s="15">
        <f>((8072*23.4457)+(20839*23.4409)+(3131*23.4573))/B199</f>
        <v>23.443711747081952</v>
      </c>
      <c r="E199" s="15">
        <v>23.68</v>
      </c>
      <c r="F199" s="15">
        <v>23.12</v>
      </c>
      <c r="G199" s="20"/>
    </row>
    <row r="200" spans="1:7" x14ac:dyDescent="0.25">
      <c r="A200" s="11">
        <v>44727</v>
      </c>
      <c r="B200" s="12">
        <v>101500</v>
      </c>
      <c r="C200" s="27">
        <f t="shared" ref="C200:C214" si="12">B200/$M$4</f>
        <v>8.8116831493757742E-4</v>
      </c>
      <c r="D200" s="13">
        <v>23.890999999999998</v>
      </c>
      <c r="E200" s="13"/>
      <c r="F200" s="13"/>
      <c r="G200" s="12">
        <f>B200*D200</f>
        <v>2424936.5</v>
      </c>
    </row>
    <row r="201" spans="1:7" x14ac:dyDescent="0.25">
      <c r="A201" s="5" t="s">
        <v>5</v>
      </c>
      <c r="B201" s="7">
        <v>69481</v>
      </c>
      <c r="C201" s="27">
        <f t="shared" si="12"/>
        <v>6.0319660778500317E-4</v>
      </c>
      <c r="D201" s="14">
        <v>23.889700000000001</v>
      </c>
      <c r="E201" s="14">
        <v>24.12</v>
      </c>
      <c r="F201" s="14">
        <v>23.46</v>
      </c>
      <c r="G201" s="19"/>
    </row>
    <row r="202" spans="1:7" x14ac:dyDescent="0.25">
      <c r="A202" s="6" t="s">
        <v>6</v>
      </c>
      <c r="B202" s="26">
        <v>32019</v>
      </c>
      <c r="C202" s="28">
        <f t="shared" si="12"/>
        <v>2.779717071525743E-4</v>
      </c>
      <c r="D202" s="15">
        <f>((8110*23.8996)+(20876*23.8911)+(3033*23.8978))/B202</f>
        <v>23.893887597988698</v>
      </c>
      <c r="E202" s="15">
        <v>24.1</v>
      </c>
      <c r="F202" s="15">
        <v>23.44</v>
      </c>
      <c r="G202" s="20"/>
    </row>
    <row r="203" spans="1:7" x14ac:dyDescent="0.25">
      <c r="A203" s="11">
        <v>44728</v>
      </c>
      <c r="B203" s="12">
        <v>101500</v>
      </c>
      <c r="C203" s="27">
        <f t="shared" si="12"/>
        <v>8.8116831493757742E-4</v>
      </c>
      <c r="D203" s="13">
        <v>22.790600000000001</v>
      </c>
      <c r="E203" s="13"/>
      <c r="F203" s="13"/>
      <c r="G203" s="12">
        <f>B203*D203</f>
        <v>2313245.9</v>
      </c>
    </row>
    <row r="204" spans="1:7" x14ac:dyDescent="0.25">
      <c r="A204" s="5" t="s">
        <v>5</v>
      </c>
      <c r="B204" s="7">
        <v>69506</v>
      </c>
      <c r="C204" s="27">
        <f t="shared" si="12"/>
        <v>6.0341364431577588E-4</v>
      </c>
      <c r="D204" s="14">
        <v>22.781400000000001</v>
      </c>
      <c r="E204" s="14">
        <v>23.64</v>
      </c>
      <c r="F204" s="14">
        <v>22.5</v>
      </c>
      <c r="G204" s="19"/>
    </row>
    <row r="205" spans="1:7" x14ac:dyDescent="0.25">
      <c r="A205" s="6" t="s">
        <v>6</v>
      </c>
      <c r="B205" s="26">
        <v>31994</v>
      </c>
      <c r="C205" s="28">
        <f t="shared" si="12"/>
        <v>2.7775467062180148E-4</v>
      </c>
      <c r="D205" s="15">
        <f>((8118*22.8225)+(20942*22.8073)+(2934*22.8006))/B205</f>
        <v>22.810542351690945</v>
      </c>
      <c r="E205" s="15">
        <v>23.64</v>
      </c>
      <c r="F205" s="15">
        <v>22.5</v>
      </c>
      <c r="G205" s="20"/>
    </row>
    <row r="206" spans="1:7" x14ac:dyDescent="0.25">
      <c r="A206" s="11">
        <v>44729</v>
      </c>
      <c r="B206" s="12">
        <v>102500</v>
      </c>
      <c r="C206" s="27">
        <f t="shared" si="12"/>
        <v>8.8984977616848957E-4</v>
      </c>
      <c r="D206" s="13">
        <v>22.592400000000001</v>
      </c>
      <c r="E206" s="13"/>
      <c r="F206" s="13"/>
      <c r="G206" s="12">
        <f>B206*D206</f>
        <v>2315721</v>
      </c>
    </row>
    <row r="207" spans="1:7" x14ac:dyDescent="0.25">
      <c r="A207" s="5" t="s">
        <v>5</v>
      </c>
      <c r="B207" s="7">
        <v>70209</v>
      </c>
      <c r="C207" s="27">
        <f t="shared" si="12"/>
        <v>6.0951671156110718E-4</v>
      </c>
      <c r="D207" s="14">
        <v>22.5928</v>
      </c>
      <c r="E207" s="14">
        <v>22.78</v>
      </c>
      <c r="F207" s="14">
        <v>22.22</v>
      </c>
      <c r="G207" s="19"/>
    </row>
    <row r="208" spans="1:7" x14ac:dyDescent="0.25">
      <c r="A208" s="6" t="s">
        <v>6</v>
      </c>
      <c r="B208" s="26">
        <v>32291</v>
      </c>
      <c r="C208" s="28">
        <f t="shared" si="12"/>
        <v>2.8033306460738239E-4</v>
      </c>
      <c r="D208" s="15">
        <f>((8294*22.6055)+(21104*22.591)+(2893*22.5553))/B208</f>
        <v>22.591525932922487</v>
      </c>
      <c r="E208" s="15">
        <v>22.76</v>
      </c>
      <c r="F208" s="15">
        <v>22.22</v>
      </c>
      <c r="G208" s="20"/>
    </row>
    <row r="209" spans="1:7" x14ac:dyDescent="0.25">
      <c r="A209" s="11">
        <v>44732</v>
      </c>
      <c r="B209" s="12">
        <v>110500</v>
      </c>
      <c r="C209" s="27">
        <f t="shared" si="12"/>
        <v>9.5930146601578626E-4</v>
      </c>
      <c r="D209" s="13">
        <v>21.844100000000001</v>
      </c>
      <c r="E209" s="13"/>
      <c r="F209" s="13"/>
      <c r="G209" s="12">
        <f>B209*D209</f>
        <v>2413773.0500000003</v>
      </c>
    </row>
    <row r="210" spans="1:7" x14ac:dyDescent="0.25">
      <c r="A210" s="5" t="s">
        <v>5</v>
      </c>
      <c r="B210" s="7">
        <v>77809</v>
      </c>
      <c r="C210" s="27">
        <f t="shared" si="12"/>
        <v>6.7549581691603907E-4</v>
      </c>
      <c r="D210" s="14">
        <v>21.841100000000001</v>
      </c>
      <c r="E210" s="14">
        <v>22.5</v>
      </c>
      <c r="F210" s="14">
        <v>21.62</v>
      </c>
      <c r="G210" s="19"/>
    </row>
    <row r="211" spans="1:7" x14ac:dyDescent="0.25">
      <c r="A211" s="6" t="s">
        <v>6</v>
      </c>
      <c r="B211" s="26">
        <v>32691</v>
      </c>
      <c r="C211" s="28">
        <f t="shared" si="12"/>
        <v>2.8380564909974724E-4</v>
      </c>
      <c r="D211" s="15">
        <f>((21.8566*8449)+(21.8443*21283)+(21.8847*2959))/B211</f>
        <v>21.851135713193234</v>
      </c>
      <c r="E211" s="15">
        <v>22.5</v>
      </c>
      <c r="F211" s="15">
        <v>21.62</v>
      </c>
      <c r="G211" s="20"/>
    </row>
    <row r="212" spans="1:7" x14ac:dyDescent="0.25">
      <c r="A212" s="11">
        <v>44733</v>
      </c>
      <c r="B212" s="12">
        <v>114300</v>
      </c>
      <c r="C212" s="27">
        <f t="shared" si="12"/>
        <v>9.922910186932522E-4</v>
      </c>
      <c r="D212" s="13">
        <v>21.749300000000002</v>
      </c>
      <c r="E212" s="13"/>
      <c r="F212" s="13"/>
      <c r="G212" s="12">
        <f>B212*D212</f>
        <v>2485944.9900000002</v>
      </c>
    </row>
    <row r="213" spans="1:7" x14ac:dyDescent="0.25">
      <c r="A213" s="5" t="s">
        <v>5</v>
      </c>
      <c r="B213" s="7">
        <v>80702</v>
      </c>
      <c r="C213" s="27">
        <f t="shared" si="12"/>
        <v>7.0061128425706772E-4</v>
      </c>
      <c r="D213" s="14">
        <v>21.7</v>
      </c>
      <c r="E213" s="14">
        <v>21.7</v>
      </c>
      <c r="F213" s="14">
        <v>21.66</v>
      </c>
      <c r="G213" s="19"/>
    </row>
    <row r="214" spans="1:7" x14ac:dyDescent="0.25">
      <c r="A214" s="6" t="s">
        <v>6</v>
      </c>
      <c r="B214" s="26">
        <v>33598</v>
      </c>
      <c r="C214" s="28">
        <f t="shared" si="12"/>
        <v>2.9167973443618449E-4</v>
      </c>
      <c r="D214" s="15">
        <f>((21.8797*8728)+(21.8794*21890)+(21.748*2980))/B214</f>
        <v>21.867823310911366</v>
      </c>
      <c r="E214" s="15">
        <v>22.32</v>
      </c>
      <c r="F214" s="15">
        <v>21.64</v>
      </c>
      <c r="G214" s="20"/>
    </row>
    <row r="215" spans="1:7" x14ac:dyDescent="0.25">
      <c r="A215" s="11">
        <v>44734</v>
      </c>
      <c r="B215" s="12">
        <v>122300</v>
      </c>
      <c r="C215" s="27">
        <f t="shared" ref="C215:C229" si="13">B215/$M$4</f>
        <v>1.061742708540549E-3</v>
      </c>
      <c r="D215" s="13">
        <v>21.0168</v>
      </c>
      <c r="E215" s="13"/>
      <c r="F215" s="13"/>
      <c r="G215" s="12">
        <f>B215*D215</f>
        <v>2570354.64</v>
      </c>
    </row>
    <row r="216" spans="1:7" x14ac:dyDescent="0.25">
      <c r="A216" s="5" t="s">
        <v>5</v>
      </c>
      <c r="B216" s="7">
        <v>84349</v>
      </c>
      <c r="C216" s="27">
        <f t="shared" si="13"/>
        <v>7.3227257336620408E-4</v>
      </c>
      <c r="D216" s="14">
        <v>21.019500000000001</v>
      </c>
      <c r="E216" s="14">
        <v>21.26</v>
      </c>
      <c r="F216" s="14">
        <v>20.86</v>
      </c>
      <c r="G216" s="19"/>
    </row>
    <row r="217" spans="1:7" x14ac:dyDescent="0.25">
      <c r="A217" s="6" t="s">
        <v>6</v>
      </c>
      <c r="B217" s="26">
        <v>37951</v>
      </c>
      <c r="C217" s="28">
        <f t="shared" si="13"/>
        <v>3.2947013517434486E-4</v>
      </c>
      <c r="D217" s="15">
        <f>((21.0062*9073)+(21.0132*24111)+(21.0082*4767))/B217</f>
        <v>21.010898453268688</v>
      </c>
      <c r="E217" s="15">
        <v>21.24</v>
      </c>
      <c r="F217" s="15">
        <v>20.88</v>
      </c>
      <c r="G217" s="20"/>
    </row>
    <row r="218" spans="1:7" x14ac:dyDescent="0.25">
      <c r="A218" s="11">
        <v>44735</v>
      </c>
      <c r="B218" s="12">
        <v>133000</v>
      </c>
      <c r="C218" s="27">
        <f t="shared" si="13"/>
        <v>1.1546343437113084E-3</v>
      </c>
      <c r="D218" s="13">
        <v>20.391200000000001</v>
      </c>
      <c r="E218" s="13"/>
      <c r="F218" s="13"/>
      <c r="G218" s="12">
        <f>B218*D218</f>
        <v>2712029.6</v>
      </c>
    </row>
    <row r="219" spans="1:7" x14ac:dyDescent="0.25">
      <c r="A219" s="5" t="s">
        <v>5</v>
      </c>
      <c r="B219" s="7">
        <v>91319</v>
      </c>
      <c r="C219" s="27">
        <f t="shared" si="13"/>
        <v>7.9278235814566136E-4</v>
      </c>
      <c r="D219" s="14">
        <v>20.385400000000001</v>
      </c>
      <c r="E219" s="14">
        <v>20.96</v>
      </c>
      <c r="F219" s="14">
        <v>20.22</v>
      </c>
      <c r="G219" s="19"/>
    </row>
    <row r="220" spans="1:7" x14ac:dyDescent="0.25">
      <c r="A220" s="6" t="s">
        <v>6</v>
      </c>
      <c r="B220" s="26">
        <v>41681</v>
      </c>
      <c r="C220" s="28">
        <f t="shared" si="13"/>
        <v>3.6185198556564695E-4</v>
      </c>
      <c r="D220" s="15">
        <f>((20.4123*9829)+(20.3954*26618)+(20.4303*5234))/B220</f>
        <v>20.403767762289771</v>
      </c>
      <c r="E220" s="15">
        <v>20.94</v>
      </c>
      <c r="F220" s="15">
        <v>20.239999999999998</v>
      </c>
      <c r="G220" s="20"/>
    </row>
    <row r="221" spans="1:7" x14ac:dyDescent="0.25">
      <c r="A221" s="11">
        <v>44736</v>
      </c>
      <c r="B221" s="12">
        <v>139400</v>
      </c>
      <c r="C221" s="27">
        <f t="shared" si="13"/>
        <v>1.2101956955891458E-3</v>
      </c>
      <c r="D221" s="13">
        <v>20.254899999999999</v>
      </c>
      <c r="E221" s="13"/>
      <c r="F221" s="13"/>
      <c r="G221" s="12">
        <f>B221*D221</f>
        <v>2823533.06</v>
      </c>
    </row>
    <row r="222" spans="1:7" x14ac:dyDescent="0.25">
      <c r="A222" s="5" t="s">
        <v>5</v>
      </c>
      <c r="B222" s="7">
        <v>95101</v>
      </c>
      <c r="C222" s="27">
        <f t="shared" si="13"/>
        <v>8.2561564452097091E-4</v>
      </c>
      <c r="D222" s="14">
        <v>20.2761</v>
      </c>
      <c r="E222" s="14">
        <v>20.6</v>
      </c>
      <c r="F222" s="14">
        <v>20</v>
      </c>
      <c r="G222" s="19"/>
    </row>
    <row r="223" spans="1:7" x14ac:dyDescent="0.25">
      <c r="A223" s="6" t="s">
        <v>6</v>
      </c>
      <c r="B223" s="26">
        <v>44299</v>
      </c>
      <c r="C223" s="28">
        <f t="shared" si="13"/>
        <v>3.8458005106817479E-4</v>
      </c>
      <c r="D223" s="15">
        <f>((20.2042*9987)+(20.2154*28593)+(20.1876*5719))/B223</f>
        <v>20.209286033544775</v>
      </c>
      <c r="E223" s="15">
        <v>20.56</v>
      </c>
      <c r="F223" s="15">
        <v>20.02</v>
      </c>
      <c r="G223" s="20"/>
    </row>
    <row r="224" spans="1:7" x14ac:dyDescent="0.25">
      <c r="A224" s="11">
        <v>44739</v>
      </c>
      <c r="B224" s="12">
        <v>150200</v>
      </c>
      <c r="C224" s="27">
        <f t="shared" si="13"/>
        <v>1.3039554768829963E-3</v>
      </c>
      <c r="D224" s="13">
        <v>20.7483</v>
      </c>
      <c r="E224" s="13"/>
      <c r="F224" s="13"/>
      <c r="G224" s="12">
        <f>B224*D224</f>
        <v>3116394.66</v>
      </c>
    </row>
    <row r="225" spans="1:7" x14ac:dyDescent="0.25">
      <c r="A225" s="5" t="s">
        <v>5</v>
      </c>
      <c r="B225" s="7">
        <v>100294</v>
      </c>
      <c r="C225" s="27">
        <f t="shared" si="13"/>
        <v>8.7069847269309749E-4</v>
      </c>
      <c r="D225" s="14">
        <v>20.749300000000002</v>
      </c>
      <c r="E225" s="14">
        <v>21.14</v>
      </c>
      <c r="F225" s="14">
        <v>20.54</v>
      </c>
      <c r="G225" s="19"/>
    </row>
    <row r="226" spans="1:7" x14ac:dyDescent="0.25">
      <c r="A226" s="6" t="s">
        <v>6</v>
      </c>
      <c r="B226" s="26">
        <v>49906</v>
      </c>
      <c r="C226" s="28">
        <f t="shared" si="13"/>
        <v>4.3325700418989891E-4</v>
      </c>
      <c r="D226" s="15">
        <f>((11132*20.7474)+(32374*20.7425)+(6400*20.7635))/B226</f>
        <v>20.746286053781109</v>
      </c>
      <c r="E226" s="15">
        <v>21.12</v>
      </c>
      <c r="F226" s="15">
        <v>20.56</v>
      </c>
      <c r="G226" s="20"/>
    </row>
    <row r="227" spans="1:7" x14ac:dyDescent="0.25">
      <c r="A227" s="11">
        <v>44740</v>
      </c>
      <c r="B227" s="12">
        <v>155400</v>
      </c>
      <c r="C227" s="27">
        <f t="shared" si="13"/>
        <v>1.3490990752837392E-3</v>
      </c>
      <c r="D227" s="13">
        <v>20.590499999999999</v>
      </c>
      <c r="E227" s="13"/>
      <c r="F227" s="13"/>
      <c r="G227" s="12">
        <f>B227*D227</f>
        <v>3199763.6999999997</v>
      </c>
    </row>
    <row r="228" spans="1:7" x14ac:dyDescent="0.25">
      <c r="A228" s="5" t="s">
        <v>5</v>
      </c>
      <c r="B228" s="7">
        <v>103645</v>
      </c>
      <c r="C228" s="27">
        <f t="shared" si="13"/>
        <v>8.9979004927788389E-4</v>
      </c>
      <c r="D228" s="14">
        <v>20.5885</v>
      </c>
      <c r="E228" s="14">
        <v>21.18</v>
      </c>
      <c r="F228" s="14">
        <v>20.38</v>
      </c>
      <c r="G228" s="19"/>
    </row>
    <row r="229" spans="1:7" x14ac:dyDescent="0.25">
      <c r="A229" s="6" t="s">
        <v>6</v>
      </c>
      <c r="B229" s="26">
        <v>51755</v>
      </c>
      <c r="C229" s="28">
        <f t="shared" si="13"/>
        <v>4.4930902600585535E-4</v>
      </c>
      <c r="D229" s="15">
        <f>((11469*20.6068)+(33538*20.5878)+(6748*20.6058))/B229</f>
        <v>20.594357337455321</v>
      </c>
      <c r="E229" s="15">
        <v>21.14</v>
      </c>
      <c r="F229" s="15">
        <v>20.36</v>
      </c>
      <c r="G229" s="20"/>
    </row>
    <row r="230" spans="1:7" x14ac:dyDescent="0.25">
      <c r="A230" s="11">
        <v>44741</v>
      </c>
      <c r="B230" s="12">
        <v>165200</v>
      </c>
      <c r="C230" s="27">
        <f t="shared" ref="C230:C268" si="14">B230/$M$4</f>
        <v>1.4341773953466777E-3</v>
      </c>
      <c r="D230" s="13">
        <v>20.5182</v>
      </c>
      <c r="E230" s="13"/>
      <c r="F230" s="13"/>
      <c r="G230" s="12">
        <f>B230*D230</f>
        <v>3389606.64</v>
      </c>
    </row>
    <row r="231" spans="1:7" x14ac:dyDescent="0.25">
      <c r="A231" s="5" t="s">
        <v>5</v>
      </c>
      <c r="B231" s="7">
        <v>109180</v>
      </c>
      <c r="C231" s="27">
        <f t="shared" si="14"/>
        <v>9.4784193719098231E-4</v>
      </c>
      <c r="D231" s="14">
        <v>20.517399999999999</v>
      </c>
      <c r="E231" s="14">
        <v>20.7</v>
      </c>
      <c r="F231" s="14">
        <v>20.36</v>
      </c>
      <c r="G231" s="19"/>
    </row>
    <row r="232" spans="1:7" x14ac:dyDescent="0.25">
      <c r="A232" s="6" t="s">
        <v>6</v>
      </c>
      <c r="B232" s="26">
        <v>56020</v>
      </c>
      <c r="C232" s="28">
        <f t="shared" si="14"/>
        <v>4.8633545815569547E-4</v>
      </c>
      <c r="D232" s="15">
        <f>((12151*20.5189)+(36485*20.5208)+(7384*20.5168))/B232</f>
        <v>20.519860640842559</v>
      </c>
      <c r="E232" s="15">
        <v>20.7</v>
      </c>
      <c r="F232" s="15">
        <v>20.36</v>
      </c>
      <c r="G232" s="20"/>
    </row>
    <row r="233" spans="1:7" x14ac:dyDescent="0.25">
      <c r="A233" s="11">
        <v>44742</v>
      </c>
      <c r="B233" s="12">
        <v>168800</v>
      </c>
      <c r="C233" s="27">
        <f t="shared" si="14"/>
        <v>1.4654306557779612E-3</v>
      </c>
      <c r="D233" s="13">
        <v>20.153199999999998</v>
      </c>
      <c r="E233" s="13"/>
      <c r="F233" s="13"/>
      <c r="G233" s="12">
        <f>B233*D233</f>
        <v>3401860.1599999997</v>
      </c>
    </row>
    <row r="234" spans="1:7" x14ac:dyDescent="0.25">
      <c r="A234" s="5" t="s">
        <v>5</v>
      </c>
      <c r="B234" s="7">
        <v>110105</v>
      </c>
      <c r="C234" s="27">
        <f t="shared" si="14"/>
        <v>9.55872288829576E-4</v>
      </c>
      <c r="D234" s="14">
        <v>20.1569</v>
      </c>
      <c r="E234" s="14">
        <v>20.36</v>
      </c>
      <c r="F234" s="14">
        <v>19.61</v>
      </c>
      <c r="G234" s="19"/>
    </row>
    <row r="235" spans="1:7" x14ac:dyDescent="0.25">
      <c r="A235" s="6" t="s">
        <v>6</v>
      </c>
      <c r="B235" s="26">
        <v>58695</v>
      </c>
      <c r="C235" s="28">
        <f t="shared" si="14"/>
        <v>5.0955836694838532E-4</v>
      </c>
      <c r="D235" s="15">
        <f>((12725*20.1573)+(38179*20.1453)+(7791*20.1338))/B235</f>
        <v>20.146375108612318</v>
      </c>
      <c r="E235" s="15">
        <v>20.28</v>
      </c>
      <c r="F235" s="15">
        <v>19.79</v>
      </c>
      <c r="G235" s="20"/>
    </row>
    <row r="236" spans="1:7" x14ac:dyDescent="0.25">
      <c r="A236" s="11">
        <v>44743</v>
      </c>
      <c r="B236" s="12">
        <v>175500</v>
      </c>
      <c r="C236" s="27">
        <f t="shared" si="14"/>
        <v>1.5235964460250722E-3</v>
      </c>
      <c r="D236" s="13">
        <v>21.023499999999999</v>
      </c>
      <c r="E236" s="13"/>
      <c r="F236" s="13"/>
      <c r="G236" s="12">
        <f>B236*D236</f>
        <v>3689624.2499999995</v>
      </c>
    </row>
    <row r="237" spans="1:7" x14ac:dyDescent="0.25">
      <c r="A237" s="5" t="s">
        <v>5</v>
      </c>
      <c r="B237" s="7">
        <v>113268</v>
      </c>
      <c r="C237" s="27">
        <f t="shared" si="14"/>
        <v>9.8333175070295102E-4</v>
      </c>
      <c r="D237" s="14">
        <v>21.020099999999999</v>
      </c>
      <c r="E237" s="14">
        <v>21.6</v>
      </c>
      <c r="F237" s="14">
        <v>20.76</v>
      </c>
      <c r="G237" s="19"/>
    </row>
    <row r="238" spans="1:7" x14ac:dyDescent="0.25">
      <c r="A238" s="6" t="s">
        <v>6</v>
      </c>
      <c r="B238" s="26">
        <v>62232</v>
      </c>
      <c r="C238" s="28">
        <f t="shared" si="14"/>
        <v>5.4026469532212132E-4</v>
      </c>
      <c r="D238" s="15">
        <f>((13375*21.034)+(40547*21.0259)+(8310*21.0425))/B238</f>
        <v>21.029857505784804</v>
      </c>
      <c r="E238" s="15">
        <v>21.6</v>
      </c>
      <c r="F238" s="15">
        <v>20.78</v>
      </c>
      <c r="G238" s="20"/>
    </row>
    <row r="239" spans="1:7" x14ac:dyDescent="0.25">
      <c r="A239" s="11">
        <v>44746</v>
      </c>
      <c r="B239" s="12">
        <v>112480</v>
      </c>
      <c r="C239" s="27">
        <f t="shared" si="14"/>
        <v>9.7649075925299218E-4</v>
      </c>
      <c r="D239" s="13">
        <v>20.769600000000001</v>
      </c>
      <c r="E239" s="13"/>
      <c r="F239" s="13"/>
      <c r="G239" s="12">
        <f>B239*D239</f>
        <v>2336164.608</v>
      </c>
    </row>
    <row r="240" spans="1:7" x14ac:dyDescent="0.25">
      <c r="A240" s="5" t="s">
        <v>5</v>
      </c>
      <c r="B240" s="7">
        <v>47555</v>
      </c>
      <c r="C240" s="27">
        <f t="shared" si="14"/>
        <v>4.1284688883602455E-4</v>
      </c>
      <c r="D240" s="14">
        <v>20.7654</v>
      </c>
      <c r="E240" s="14">
        <v>20.9</v>
      </c>
      <c r="F240" s="14">
        <v>20.52</v>
      </c>
      <c r="G240" s="19"/>
    </row>
    <row r="241" spans="1:7" x14ac:dyDescent="0.25">
      <c r="A241" s="6" t="s">
        <v>6</v>
      </c>
      <c r="B241" s="26">
        <v>64925</v>
      </c>
      <c r="C241" s="28">
        <f t="shared" si="14"/>
        <v>5.6364387041696763E-4</v>
      </c>
      <c r="D241" s="15">
        <f>((20.77*13730)+(20.7737*42354)+(20.7726*8841))/B241</f>
        <v>20.772767753561801</v>
      </c>
      <c r="E241" s="15">
        <v>20.9</v>
      </c>
      <c r="F241" s="15">
        <v>20.52</v>
      </c>
      <c r="G241" s="20"/>
    </row>
    <row r="242" spans="1:7" x14ac:dyDescent="0.25">
      <c r="A242" s="11">
        <v>44750</v>
      </c>
      <c r="B242" s="12">
        <v>112480</v>
      </c>
      <c r="C242" s="27">
        <f t="shared" si="14"/>
        <v>9.7649075925299218E-4</v>
      </c>
      <c r="D242" s="13">
        <v>20.602900000000002</v>
      </c>
      <c r="E242" s="13"/>
      <c r="F242" s="13"/>
      <c r="G242" s="12">
        <f>B242*D242</f>
        <v>2317414.1920000003</v>
      </c>
    </row>
    <row r="243" spans="1:7" x14ac:dyDescent="0.25">
      <c r="A243" s="5" t="s">
        <v>5</v>
      </c>
      <c r="B243" s="7">
        <v>55519</v>
      </c>
      <c r="C243" s="27">
        <f t="shared" si="14"/>
        <v>4.819860460790085E-4</v>
      </c>
      <c r="D243" s="14">
        <v>20.613600000000002</v>
      </c>
      <c r="E243" s="14">
        <v>20.96</v>
      </c>
      <c r="F243" s="14">
        <v>20.059999999999999</v>
      </c>
      <c r="G243" s="19"/>
    </row>
    <row r="244" spans="1:7" x14ac:dyDescent="0.25">
      <c r="A244" s="6" t="s">
        <v>6</v>
      </c>
      <c r="B244" s="26">
        <v>56961</v>
      </c>
      <c r="C244" s="28">
        <f t="shared" si="14"/>
        <v>4.9450471317398373E-4</v>
      </c>
      <c r="D244" s="15">
        <f>((20.5872*16340)+(20.604*30007)+(20.568*10614))/B244</f>
        <v>20.592472533838944</v>
      </c>
      <c r="E244" s="15">
        <v>20.96</v>
      </c>
      <c r="F244" s="15">
        <v>20.02</v>
      </c>
      <c r="G244" s="20"/>
    </row>
    <row r="245" spans="1:7" x14ac:dyDescent="0.25">
      <c r="A245" s="11">
        <v>44753</v>
      </c>
      <c r="B245" s="12">
        <v>43670</v>
      </c>
      <c r="C245" s="27">
        <f t="shared" si="14"/>
        <v>3.7911941195393112E-4</v>
      </c>
      <c r="D245" s="13">
        <v>20.6829</v>
      </c>
      <c r="E245" s="13"/>
      <c r="F245" s="13"/>
      <c r="G245" s="12">
        <f>B245*D245</f>
        <v>903222.24300000002</v>
      </c>
    </row>
    <row r="246" spans="1:7" x14ac:dyDescent="0.25">
      <c r="A246" s="5" t="s">
        <v>5</v>
      </c>
      <c r="B246" s="7">
        <v>39996</v>
      </c>
      <c r="C246" s="27">
        <f t="shared" si="14"/>
        <v>3.4722372339156005E-4</v>
      </c>
      <c r="D246" s="14">
        <v>20.6829</v>
      </c>
      <c r="E246" s="14">
        <v>20.88</v>
      </c>
      <c r="F246" s="14">
        <v>20.46</v>
      </c>
      <c r="G246" s="19"/>
    </row>
    <row r="247" spans="1:7" x14ac:dyDescent="0.25">
      <c r="A247" s="6" t="s">
        <v>6</v>
      </c>
      <c r="B247" s="26">
        <v>3674</v>
      </c>
      <c r="C247" s="28">
        <f t="shared" si="14"/>
        <v>3.1895688562371033E-5</v>
      </c>
      <c r="D247" s="15">
        <f>((3375*20.6816)+(299*20.7))/B247</f>
        <v>20.683097441480673</v>
      </c>
      <c r="E247" s="15">
        <v>20.86</v>
      </c>
      <c r="F247" s="15">
        <v>20.58</v>
      </c>
      <c r="G247" s="20"/>
    </row>
    <row r="248" spans="1:7" x14ac:dyDescent="0.25">
      <c r="A248" s="11">
        <v>44754</v>
      </c>
      <c r="B248" s="12">
        <v>45000</v>
      </c>
      <c r="C248" s="27">
        <f t="shared" si="14"/>
        <v>3.906657553910442E-4</v>
      </c>
      <c r="D248" s="13">
        <v>20.663900000000002</v>
      </c>
      <c r="E248" s="13"/>
      <c r="F248" s="13"/>
      <c r="G248" s="12">
        <f>B248*D248</f>
        <v>929875.50000000012</v>
      </c>
    </row>
    <row r="249" spans="1:7" x14ac:dyDescent="0.25">
      <c r="A249" s="5" t="s">
        <v>5</v>
      </c>
      <c r="B249" s="7">
        <v>38970</v>
      </c>
      <c r="C249" s="27">
        <f t="shared" si="14"/>
        <v>3.3831654416864425E-4</v>
      </c>
      <c r="D249" s="14">
        <f>20.6655</f>
        <v>20.665500000000002</v>
      </c>
      <c r="E249" s="14">
        <v>20.96</v>
      </c>
      <c r="F249" s="14">
        <v>20.399999999999999</v>
      </c>
      <c r="G249" s="19"/>
    </row>
    <row r="250" spans="1:7" x14ac:dyDescent="0.25">
      <c r="A250" s="6" t="s">
        <v>6</v>
      </c>
      <c r="B250" s="26">
        <v>6030</v>
      </c>
      <c r="C250" s="28">
        <f t="shared" si="14"/>
        <v>5.2349211222399919E-5</v>
      </c>
      <c r="D250" s="15">
        <f>((1490*20.5431)+(3625*20.708)+(915*20.6181))/B250</f>
        <v>20.653612023217246</v>
      </c>
      <c r="E250" s="15">
        <v>20.92</v>
      </c>
      <c r="F250" s="15">
        <v>20.5</v>
      </c>
      <c r="G250" s="20"/>
    </row>
    <row r="251" spans="1:7" x14ac:dyDescent="0.25">
      <c r="A251" s="11">
        <v>44755</v>
      </c>
      <c r="B251" s="12">
        <v>42000</v>
      </c>
      <c r="C251" s="27">
        <f t="shared" si="14"/>
        <v>3.6462137169830791E-4</v>
      </c>
      <c r="D251" s="13">
        <v>20.738700000000001</v>
      </c>
      <c r="E251" s="13"/>
      <c r="F251" s="13"/>
      <c r="G251" s="12">
        <f>B251*D251</f>
        <v>871025.4</v>
      </c>
    </row>
    <row r="252" spans="1:7" x14ac:dyDescent="0.25">
      <c r="A252" s="5" t="s">
        <v>5</v>
      </c>
      <c r="B252" s="7">
        <v>39133</v>
      </c>
      <c r="C252" s="27">
        <f t="shared" si="14"/>
        <v>3.3973162234928291E-4</v>
      </c>
      <c r="D252" s="14">
        <v>20.728899999999999</v>
      </c>
      <c r="E252" s="14">
        <v>21.02</v>
      </c>
      <c r="F252" s="14">
        <v>20.32</v>
      </c>
      <c r="G252" s="19"/>
    </row>
    <row r="253" spans="1:7" x14ac:dyDescent="0.25">
      <c r="A253" s="6" t="s">
        <v>6</v>
      </c>
      <c r="B253" s="26">
        <v>2867</v>
      </c>
      <c r="C253" s="28">
        <f t="shared" si="14"/>
        <v>2.4889749349024971E-5</v>
      </c>
      <c r="D253" s="15">
        <f>((2*21.02)+(1587*20.8716)+(1278*20.8729))/B253</f>
        <v>20.87228301360307</v>
      </c>
      <c r="E253" s="15">
        <v>21.02</v>
      </c>
      <c r="F253" s="15">
        <v>20.48</v>
      </c>
      <c r="G253" s="20"/>
    </row>
    <row r="254" spans="1:7" x14ac:dyDescent="0.25">
      <c r="A254" s="11">
        <v>44756</v>
      </c>
      <c r="B254" s="12">
        <v>48000</v>
      </c>
      <c r="C254" s="27">
        <f t="shared" si="14"/>
        <v>4.1671013908378045E-4</v>
      </c>
      <c r="D254" s="13">
        <v>20.503900000000002</v>
      </c>
      <c r="E254" s="13"/>
      <c r="F254" s="13"/>
      <c r="G254" s="12">
        <f>B254*D254</f>
        <v>984187.20000000007</v>
      </c>
    </row>
    <row r="255" spans="1:7" x14ac:dyDescent="0.25">
      <c r="A255" s="5" t="s">
        <v>5</v>
      </c>
      <c r="B255" s="7">
        <v>40471</v>
      </c>
      <c r="C255" s="27">
        <f t="shared" si="14"/>
        <v>3.5134741747624331E-4</v>
      </c>
      <c r="D255" s="14">
        <v>20.4984</v>
      </c>
      <c r="E255" s="14">
        <v>20.64</v>
      </c>
      <c r="F255" s="14">
        <v>20.34</v>
      </c>
      <c r="G255" s="19"/>
    </row>
    <row r="256" spans="1:7" x14ac:dyDescent="0.25">
      <c r="A256" s="6" t="s">
        <v>6</v>
      </c>
      <c r="B256" s="26">
        <v>7529</v>
      </c>
      <c r="C256" s="28">
        <f t="shared" si="14"/>
        <v>6.5362721607537154E-5</v>
      </c>
      <c r="D256" s="15">
        <f>((800*20.5)+(6286*20.5386)+(443*20.52))/B256</f>
        <v>20.533404117412669</v>
      </c>
      <c r="E256" s="15">
        <v>20.62</v>
      </c>
      <c r="F256" s="15">
        <v>20.399999999999999</v>
      </c>
      <c r="G256" s="20"/>
    </row>
    <row r="257" spans="1:7" x14ac:dyDescent="0.25">
      <c r="A257" s="11">
        <v>44757</v>
      </c>
      <c r="B257" s="12">
        <v>45000</v>
      </c>
      <c r="C257" s="27">
        <f t="shared" si="14"/>
        <v>3.906657553910442E-4</v>
      </c>
      <c r="D257" s="13">
        <v>20.6343</v>
      </c>
      <c r="E257" s="13"/>
      <c r="F257" s="13"/>
      <c r="G257" s="12">
        <f>B257*D257</f>
        <v>928543.5</v>
      </c>
    </row>
    <row r="258" spans="1:7" x14ac:dyDescent="0.25">
      <c r="A258" s="5" t="s">
        <v>5</v>
      </c>
      <c r="B258" s="7">
        <v>37976</v>
      </c>
      <c r="C258" s="27">
        <f t="shared" si="14"/>
        <v>3.2968717170511763E-4</v>
      </c>
      <c r="D258" s="14">
        <v>20.628699999999998</v>
      </c>
      <c r="E258" s="14">
        <v>20.76</v>
      </c>
      <c r="F258" s="14">
        <v>20.399999999999999</v>
      </c>
      <c r="G258" s="19"/>
    </row>
    <row r="259" spans="1:7" x14ac:dyDescent="0.25">
      <c r="A259" s="6" t="s">
        <v>6</v>
      </c>
      <c r="B259" s="26">
        <v>7024</v>
      </c>
      <c r="C259" s="28">
        <f t="shared" si="14"/>
        <v>6.0978583685926541E-5</v>
      </c>
      <c r="D259" s="15">
        <f>((1696*20.6434)+(2864*20.6942)+(2464*20.6442))/B259</f>
        <v>20.664394077448748</v>
      </c>
      <c r="E259" s="15">
        <v>20.76</v>
      </c>
      <c r="F259" s="15">
        <v>20.58</v>
      </c>
      <c r="G259" s="20"/>
    </row>
    <row r="260" spans="1:7" x14ac:dyDescent="0.25">
      <c r="A260" s="11">
        <v>44760</v>
      </c>
      <c r="B260" s="12">
        <v>39206</v>
      </c>
      <c r="C260" s="27">
        <f t="shared" si="14"/>
        <v>3.4036536901913949E-4</v>
      </c>
      <c r="D260" s="13">
        <v>21.098500000000001</v>
      </c>
      <c r="E260" s="13"/>
      <c r="F260" s="13"/>
      <c r="G260" s="12">
        <f>B260*D260</f>
        <v>827187.79100000008</v>
      </c>
    </row>
    <row r="261" spans="1:7" x14ac:dyDescent="0.25">
      <c r="A261" s="5" t="s">
        <v>5</v>
      </c>
      <c r="B261" s="7">
        <v>29078</v>
      </c>
      <c r="C261" s="27">
        <f t="shared" si="14"/>
        <v>2.5243952967246184E-4</v>
      </c>
      <c r="D261" s="14">
        <v>21.092300000000002</v>
      </c>
      <c r="E261" s="14">
        <v>21.18</v>
      </c>
      <c r="F261" s="14">
        <v>20.92</v>
      </c>
      <c r="G261" s="19"/>
    </row>
    <row r="262" spans="1:7" x14ac:dyDescent="0.25">
      <c r="A262" s="6" t="s">
        <v>6</v>
      </c>
      <c r="B262" s="26">
        <v>10128</v>
      </c>
      <c r="C262" s="28">
        <f t="shared" si="14"/>
        <v>8.7925839346677674E-5</v>
      </c>
      <c r="D262" s="15">
        <f>((1384*21.08)+(4131*21.1213)+(4613*21.1226))/B262</f>
        <v>21.116248430094789</v>
      </c>
      <c r="E262" s="15">
        <v>21.18</v>
      </c>
      <c r="F262" s="15">
        <v>21</v>
      </c>
      <c r="G262" s="20"/>
    </row>
    <row r="263" spans="1:7" x14ac:dyDescent="0.25">
      <c r="A263" s="11">
        <v>44761</v>
      </c>
      <c r="B263" s="12">
        <v>39206</v>
      </c>
      <c r="C263" s="27">
        <f t="shared" si="14"/>
        <v>3.4036536901913949E-4</v>
      </c>
      <c r="D263" s="13">
        <v>21.165400000000002</v>
      </c>
      <c r="E263" s="13"/>
      <c r="F263" s="13"/>
      <c r="G263" s="12">
        <f>B263*D263</f>
        <v>829810.67240000004</v>
      </c>
    </row>
    <row r="264" spans="1:7" x14ac:dyDescent="0.25">
      <c r="A264" s="5" t="s">
        <v>5</v>
      </c>
      <c r="B264" s="7">
        <v>23141</v>
      </c>
      <c r="C264" s="27">
        <f t="shared" si="14"/>
        <v>2.0089769434453674E-4</v>
      </c>
      <c r="D264" s="14">
        <v>21.1782</v>
      </c>
      <c r="E264" s="14">
        <v>21.58</v>
      </c>
      <c r="F264" s="14">
        <v>20.92</v>
      </c>
      <c r="G264" s="19"/>
    </row>
    <row r="265" spans="1:7" x14ac:dyDescent="0.25">
      <c r="A265" s="6" t="s">
        <v>6</v>
      </c>
      <c r="B265" s="26">
        <v>16065</v>
      </c>
      <c r="C265" s="28">
        <f t="shared" si="14"/>
        <v>1.3946767467460278E-4</v>
      </c>
      <c r="D265" s="15">
        <f>((400*21)+(13148*21.1064)+(21.3829*2517))/B265</f>
        <v>21.147071677559911</v>
      </c>
      <c r="E265" s="15">
        <v>21.58</v>
      </c>
      <c r="F265" s="15">
        <v>20.98</v>
      </c>
      <c r="G265" s="20"/>
    </row>
    <row r="266" spans="1:7" x14ac:dyDescent="0.25">
      <c r="A266" s="11">
        <v>44762</v>
      </c>
      <c r="B266" s="12">
        <v>39206</v>
      </c>
      <c r="C266" s="27">
        <f t="shared" si="14"/>
        <v>3.4036536901913949E-4</v>
      </c>
      <c r="D266" s="13">
        <v>21.652799999999999</v>
      </c>
      <c r="E266" s="13"/>
      <c r="F266" s="13"/>
      <c r="G266" s="12">
        <f>B266*D266</f>
        <v>848919.67680000002</v>
      </c>
    </row>
    <row r="267" spans="1:7" x14ac:dyDescent="0.25">
      <c r="A267" s="5" t="s">
        <v>5</v>
      </c>
      <c r="B267" s="7">
        <v>32901</v>
      </c>
      <c r="C267" s="27">
        <f t="shared" si="14"/>
        <v>2.8562875595823878E-4</v>
      </c>
      <c r="D267" s="14">
        <v>21.661799999999999</v>
      </c>
      <c r="E267" s="14">
        <v>21.98</v>
      </c>
      <c r="F267" s="14">
        <v>21.4</v>
      </c>
      <c r="G267" s="19"/>
    </row>
    <row r="268" spans="1:7" x14ac:dyDescent="0.25">
      <c r="A268" s="6" t="s">
        <v>6</v>
      </c>
      <c r="B268" s="26">
        <v>6305</v>
      </c>
      <c r="C268" s="28">
        <f t="shared" si="14"/>
        <v>5.4736613060900743E-5</v>
      </c>
      <c r="D268" s="15">
        <f>((593*21.54)+(5084*21.6119)+(628*21.6223))/B268</f>
        <v>21.606173513084855</v>
      </c>
      <c r="E268" s="15">
        <v>21.72</v>
      </c>
      <c r="F268" s="15">
        <v>21.54</v>
      </c>
      <c r="G268" s="20"/>
    </row>
    <row r="269" spans="1:7" x14ac:dyDescent="0.25">
      <c r="A269" s="11">
        <v>44763</v>
      </c>
      <c r="B269" s="12">
        <v>39206</v>
      </c>
      <c r="C269" s="27">
        <f t="shared" ref="C269:C274" si="15">B269/$M$4</f>
        <v>3.4036536901913949E-4</v>
      </c>
      <c r="D269" s="13">
        <v>21.7302</v>
      </c>
      <c r="E269" s="13"/>
      <c r="F269" s="13"/>
      <c r="G269" s="12">
        <f>B269*D269</f>
        <v>851954.22120000003</v>
      </c>
    </row>
    <row r="270" spans="1:7" x14ac:dyDescent="0.25">
      <c r="A270" s="5" t="s">
        <v>5</v>
      </c>
      <c r="B270" s="7">
        <v>36269</v>
      </c>
      <c r="C270" s="27">
        <f t="shared" si="15"/>
        <v>3.1486791738395068E-4</v>
      </c>
      <c r="D270" s="14">
        <v>21.733899999999998</v>
      </c>
      <c r="E270" s="14">
        <v>21.92</v>
      </c>
      <c r="F270" s="14">
        <v>21.58</v>
      </c>
      <c r="G270" s="19"/>
    </row>
    <row r="271" spans="1:7" x14ac:dyDescent="0.25">
      <c r="A271" s="6" t="s">
        <v>6</v>
      </c>
      <c r="B271" s="26">
        <v>2937</v>
      </c>
      <c r="C271" s="28">
        <f t="shared" si="15"/>
        <v>2.5497451635188818E-5</v>
      </c>
      <c r="D271" s="15">
        <f>((782*21.7401)+(2144*21.6652)+(11*21.66))/B271</f>
        <v>21.68512325502213</v>
      </c>
      <c r="E271" s="15">
        <v>21.84</v>
      </c>
      <c r="F271" s="15">
        <v>21.6</v>
      </c>
      <c r="G271" s="20"/>
    </row>
    <row r="272" spans="1:7" x14ac:dyDescent="0.25">
      <c r="A272" s="11">
        <v>44764</v>
      </c>
      <c r="B272" s="12">
        <v>39206</v>
      </c>
      <c r="C272" s="27">
        <f t="shared" si="15"/>
        <v>3.4036536901913949E-4</v>
      </c>
      <c r="D272" s="13">
        <v>21.579000000000001</v>
      </c>
      <c r="E272" s="13"/>
      <c r="F272" s="13"/>
      <c r="G272" s="12">
        <f>B272*D272</f>
        <v>846026.27399999998</v>
      </c>
    </row>
    <row r="273" spans="1:7" x14ac:dyDescent="0.25">
      <c r="A273" s="5" t="s">
        <v>5</v>
      </c>
      <c r="B273" s="7">
        <v>27941</v>
      </c>
      <c r="C273" s="27">
        <f t="shared" si="15"/>
        <v>2.4256870825291478E-4</v>
      </c>
      <c r="D273" s="14">
        <v>21.565200000000001</v>
      </c>
      <c r="E273" s="14">
        <v>21.7</v>
      </c>
      <c r="F273" s="14">
        <v>21.38</v>
      </c>
      <c r="G273" s="19"/>
    </row>
    <row r="274" spans="1:7" x14ac:dyDescent="0.25">
      <c r="A274" s="6" t="s">
        <v>6</v>
      </c>
      <c r="B274" s="26">
        <v>11265</v>
      </c>
      <c r="C274" s="28">
        <f t="shared" si="15"/>
        <v>9.7796660766224732E-5</v>
      </c>
      <c r="D274" s="15">
        <f>((1822*21.6616)+(8995*21.6034)+(448*21.617))/B274</f>
        <v>21.613354123391037</v>
      </c>
      <c r="E274" s="15">
        <v>21.7</v>
      </c>
      <c r="F274" s="15">
        <v>21.48</v>
      </c>
      <c r="G274" s="20"/>
    </row>
    <row r="275" spans="1:7" x14ac:dyDescent="0.25">
      <c r="A275" s="11">
        <v>44767</v>
      </c>
      <c r="B275" s="12">
        <v>39206</v>
      </c>
      <c r="C275" s="27">
        <f t="shared" ref="C275:C292" si="16">B275/$M$4</f>
        <v>3.4036536901913949E-4</v>
      </c>
      <c r="D275" s="13">
        <v>21.488600000000002</v>
      </c>
      <c r="E275" s="13"/>
      <c r="F275" s="13"/>
      <c r="G275" s="12">
        <f>B275*D275</f>
        <v>842482.05160000012</v>
      </c>
    </row>
    <row r="276" spans="1:7" x14ac:dyDescent="0.25">
      <c r="A276" s="5" t="s">
        <v>5</v>
      </c>
      <c r="B276" s="7">
        <v>25799</v>
      </c>
      <c r="C276" s="27">
        <f t="shared" si="16"/>
        <v>2.2397301829630108E-4</v>
      </c>
      <c r="D276" s="14">
        <v>21.476400000000002</v>
      </c>
      <c r="E276" s="14">
        <v>21.68</v>
      </c>
      <c r="F276" s="14">
        <v>21.2</v>
      </c>
      <c r="G276" s="19"/>
    </row>
    <row r="277" spans="1:7" x14ac:dyDescent="0.25">
      <c r="A277" s="6" t="s">
        <v>6</v>
      </c>
      <c r="B277" s="26">
        <v>13407</v>
      </c>
      <c r="C277" s="28">
        <f t="shared" si="16"/>
        <v>1.1639235072283843E-4</v>
      </c>
      <c r="D277" s="15">
        <f>((21.571*1779)+(21.48*8944)+(21.5801*2684))/B277</f>
        <v>21.512114373088689</v>
      </c>
      <c r="E277" s="15">
        <v>21.62</v>
      </c>
      <c r="F277" s="15">
        <v>21.24</v>
      </c>
      <c r="G277" s="20"/>
    </row>
    <row r="278" spans="1:7" x14ac:dyDescent="0.25">
      <c r="A278" s="11">
        <v>44768</v>
      </c>
      <c r="B278" s="12">
        <v>50555</v>
      </c>
      <c r="C278" s="27">
        <f t="shared" si="16"/>
        <v>4.3889127252876085E-4</v>
      </c>
      <c r="D278" s="13">
        <v>20.799199999999999</v>
      </c>
      <c r="E278" s="13"/>
      <c r="F278" s="13"/>
      <c r="G278" s="12">
        <f>B278*D278</f>
        <v>1051503.5559999999</v>
      </c>
    </row>
    <row r="279" spans="1:7" x14ac:dyDescent="0.25">
      <c r="A279" s="5" t="s">
        <v>5</v>
      </c>
      <c r="B279" s="7">
        <v>36725</v>
      </c>
      <c r="C279" s="27">
        <f t="shared" si="16"/>
        <v>3.188266637052466E-4</v>
      </c>
      <c r="D279" s="14">
        <v>20.829899999999999</v>
      </c>
      <c r="E279" s="14">
        <v>21.32</v>
      </c>
      <c r="F279" s="14">
        <v>20.52</v>
      </c>
      <c r="G279" s="19"/>
    </row>
    <row r="280" spans="1:7" x14ac:dyDescent="0.25">
      <c r="A280" s="6" t="s">
        <v>6</v>
      </c>
      <c r="B280" s="26">
        <v>13830</v>
      </c>
      <c r="C280" s="28">
        <f t="shared" si="16"/>
        <v>1.2006460882351425E-4</v>
      </c>
      <c r="D280" s="15">
        <f>((20.7185*5450)+(20.7395*6181)+(20.6528*2199))/B280</f>
        <v>20.717439023861171</v>
      </c>
      <c r="E280" s="15">
        <v>21.08</v>
      </c>
      <c r="F280" s="15">
        <v>20.56</v>
      </c>
      <c r="G280" s="20"/>
    </row>
    <row r="281" spans="1:7" x14ac:dyDescent="0.25">
      <c r="A281" s="11">
        <v>44769</v>
      </c>
      <c r="B281" s="12">
        <v>44650</v>
      </c>
      <c r="C281" s="27">
        <f t="shared" si="16"/>
        <v>3.8762724396022494E-4</v>
      </c>
      <c r="D281" s="13">
        <v>21.036000000000001</v>
      </c>
      <c r="E281" s="13"/>
      <c r="F281" s="13"/>
      <c r="G281" s="12">
        <f>B281*D281</f>
        <v>939257.4</v>
      </c>
    </row>
    <row r="282" spans="1:7" x14ac:dyDescent="0.25">
      <c r="A282" s="5" t="s">
        <v>5</v>
      </c>
      <c r="B282" s="7">
        <v>30190</v>
      </c>
      <c r="C282" s="27">
        <f t="shared" si="16"/>
        <v>2.6209331456123608E-4</v>
      </c>
      <c r="D282" s="14">
        <v>21.018799999999999</v>
      </c>
      <c r="E282" s="14">
        <v>21.18</v>
      </c>
      <c r="F282" s="14">
        <v>20.72</v>
      </c>
      <c r="G282" s="19"/>
    </row>
    <row r="283" spans="1:7" x14ac:dyDescent="0.25">
      <c r="A283" s="6" t="s">
        <v>6</v>
      </c>
      <c r="B283" s="26">
        <v>14460</v>
      </c>
      <c r="C283" s="28">
        <f t="shared" si="16"/>
        <v>1.2553392939898886E-4</v>
      </c>
      <c r="D283" s="15">
        <f>((21.0628*3293)+(21.0771*10408)+(21.0417*759))/B283</f>
        <v>21.07198530428769</v>
      </c>
      <c r="E283" s="15">
        <v>21.18</v>
      </c>
      <c r="F283" s="15">
        <v>20.76</v>
      </c>
      <c r="G283" s="20"/>
    </row>
    <row r="284" spans="1:7" x14ac:dyDescent="0.25">
      <c r="A284" s="11">
        <v>44770</v>
      </c>
      <c r="B284" s="12">
        <v>38849</v>
      </c>
      <c r="C284" s="27">
        <f t="shared" si="16"/>
        <v>3.3726608735970391E-4</v>
      </c>
      <c r="D284" s="13">
        <v>21.543299999999999</v>
      </c>
      <c r="E284" s="13"/>
      <c r="F284" s="13"/>
      <c r="G284" s="12">
        <f>B284*D284</f>
        <v>836935.66169999994</v>
      </c>
    </row>
    <row r="285" spans="1:7" x14ac:dyDescent="0.25">
      <c r="A285" s="5" t="s">
        <v>5</v>
      </c>
      <c r="B285" s="7">
        <v>26913</v>
      </c>
      <c r="C285" s="27">
        <f t="shared" si="16"/>
        <v>2.3364416610753715E-4</v>
      </c>
      <c r="D285" s="14">
        <v>21.539300000000001</v>
      </c>
      <c r="E285" s="14">
        <v>21.74</v>
      </c>
      <c r="F285" s="14">
        <v>21.22</v>
      </c>
      <c r="G285" s="19"/>
    </row>
    <row r="286" spans="1:7" x14ac:dyDescent="0.25">
      <c r="A286" s="6" t="s">
        <v>6</v>
      </c>
      <c r="B286" s="26">
        <v>11936</v>
      </c>
      <c r="C286" s="28">
        <f t="shared" si="16"/>
        <v>1.0362192125216675E-4</v>
      </c>
      <c r="D286" s="15">
        <f>((21.5828*7327)+(21.4987*3788)+(21.5267*821))/B286</f>
        <v>21.552251332104557</v>
      </c>
      <c r="E286" s="15">
        <v>21.64</v>
      </c>
      <c r="F286" s="15">
        <v>21.42</v>
      </c>
      <c r="G286" s="20"/>
    </row>
    <row r="287" spans="1:7" x14ac:dyDescent="0.25">
      <c r="A287" s="11">
        <v>44771</v>
      </c>
      <c r="B287" s="12">
        <v>38849</v>
      </c>
      <c r="C287" s="27">
        <f t="shared" si="16"/>
        <v>3.3726608735970391E-4</v>
      </c>
      <c r="D287" s="13">
        <v>22.239000000000001</v>
      </c>
      <c r="E287" s="13"/>
      <c r="F287" s="13"/>
      <c r="G287" s="12">
        <f>B287*D287</f>
        <v>863962.91100000008</v>
      </c>
    </row>
    <row r="288" spans="1:7" x14ac:dyDescent="0.25">
      <c r="A288" s="5" t="s">
        <v>5</v>
      </c>
      <c r="B288" s="7">
        <v>29982</v>
      </c>
      <c r="C288" s="27">
        <f t="shared" si="16"/>
        <v>2.6028757062520637E-4</v>
      </c>
      <c r="D288" s="14">
        <v>22.2135</v>
      </c>
      <c r="E288" s="14">
        <v>22.62</v>
      </c>
      <c r="F288" s="14">
        <v>21.76</v>
      </c>
      <c r="G288" s="19"/>
    </row>
    <row r="289" spans="1:7" x14ac:dyDescent="0.25">
      <c r="A289" s="6" t="s">
        <v>6</v>
      </c>
      <c r="B289" s="26">
        <v>8867</v>
      </c>
      <c r="C289" s="28">
        <f t="shared" si="16"/>
        <v>7.6978516734497524E-5</v>
      </c>
      <c r="D289" s="15">
        <f>((22.2854*2522)+(22.2868*2716)+(22.3816*3629))/B289</f>
        <v>22.325200631555205</v>
      </c>
      <c r="E289" s="15">
        <v>22.6</v>
      </c>
      <c r="F289" s="15">
        <v>21.78</v>
      </c>
      <c r="G289" s="20"/>
    </row>
    <row r="290" spans="1:7" x14ac:dyDescent="0.25">
      <c r="A290" s="11">
        <v>44774</v>
      </c>
      <c r="B290" s="12">
        <v>38849</v>
      </c>
      <c r="C290" s="27">
        <f t="shared" si="16"/>
        <v>3.3726608735970391E-4</v>
      </c>
      <c r="D290" s="13">
        <v>22.3337</v>
      </c>
      <c r="E290" s="13"/>
      <c r="F290" s="13"/>
      <c r="G290" s="12">
        <f>B290*D290</f>
        <v>867641.91130000004</v>
      </c>
    </row>
    <row r="291" spans="1:7" x14ac:dyDescent="0.25">
      <c r="A291" s="5" t="s">
        <v>5</v>
      </c>
      <c r="B291" s="7">
        <v>26791</v>
      </c>
      <c r="C291" s="27">
        <f t="shared" si="16"/>
        <v>2.3258502783736587E-4</v>
      </c>
      <c r="D291" s="14">
        <v>22.344200000000001</v>
      </c>
      <c r="E291" s="14">
        <v>22.56</v>
      </c>
      <c r="F291" s="14">
        <v>22.12</v>
      </c>
      <c r="G291" s="19"/>
    </row>
    <row r="292" spans="1:7" x14ac:dyDescent="0.25">
      <c r="A292" s="6" t="s">
        <v>6</v>
      </c>
      <c r="B292" s="26">
        <v>12058</v>
      </c>
      <c r="C292" s="28">
        <f t="shared" si="16"/>
        <v>1.0468105952233802E-4</v>
      </c>
      <c r="D292" s="15">
        <f>((22.3084*2950)+(22.2867*2404)+(22.3201*6704))/B292</f>
        <v>22.310578636589817</v>
      </c>
      <c r="E292" s="15">
        <v>22.52</v>
      </c>
      <c r="F292" s="15">
        <v>22.18</v>
      </c>
      <c r="G292" s="20"/>
    </row>
    <row r="293" spans="1:7" x14ac:dyDescent="0.25">
      <c r="A293" s="11">
        <v>44775</v>
      </c>
      <c r="B293" s="12">
        <v>38849</v>
      </c>
      <c r="C293" s="27">
        <f t="shared" ref="C293:C306" si="17">B293/$M$4</f>
        <v>3.3726608735970391E-4</v>
      </c>
      <c r="D293" s="13">
        <v>21.7728</v>
      </c>
      <c r="E293" s="13"/>
      <c r="F293" s="13"/>
      <c r="G293" s="12">
        <f>B293*D293</f>
        <v>845851.50719999999</v>
      </c>
    </row>
    <row r="294" spans="1:7" x14ac:dyDescent="0.25">
      <c r="A294" s="5" t="s">
        <v>5</v>
      </c>
      <c r="B294" s="7">
        <v>29576</v>
      </c>
      <c r="C294" s="27">
        <f t="shared" si="17"/>
        <v>2.5676289736545604E-4</v>
      </c>
      <c r="D294" s="14">
        <v>21.7698</v>
      </c>
      <c r="E294" s="14">
        <v>22.02</v>
      </c>
      <c r="F294" s="14">
        <v>21.6</v>
      </c>
      <c r="G294" s="19"/>
    </row>
    <row r="295" spans="1:7" x14ac:dyDescent="0.25">
      <c r="A295" s="6" t="s">
        <v>6</v>
      </c>
      <c r="B295" s="26">
        <v>9273</v>
      </c>
      <c r="C295" s="28">
        <f t="shared" si="17"/>
        <v>8.0503189994247831E-5</v>
      </c>
      <c r="D295" s="15">
        <f>((21.7716*4707)+(21.7937*4405)+(21.7796*161))/B295</f>
        <v>21.782237172436105</v>
      </c>
      <c r="E295" s="15">
        <v>21.94</v>
      </c>
      <c r="F295" s="15">
        <v>21.68</v>
      </c>
      <c r="G295" s="20"/>
    </row>
    <row r="296" spans="1:7" x14ac:dyDescent="0.25">
      <c r="A296" s="11">
        <v>44776</v>
      </c>
      <c r="B296" s="12">
        <v>38849</v>
      </c>
      <c r="C296" s="27">
        <f t="shared" si="17"/>
        <v>3.3726608735970391E-4</v>
      </c>
      <c r="D296" s="13">
        <v>22.038900000000002</v>
      </c>
      <c r="E296" s="13"/>
      <c r="F296" s="13"/>
      <c r="G296" s="12">
        <f>B296*D296</f>
        <v>856189.22610000009</v>
      </c>
    </row>
    <row r="297" spans="1:7" x14ac:dyDescent="0.25">
      <c r="A297" s="5" t="s">
        <v>5</v>
      </c>
      <c r="B297" s="7">
        <v>20531</v>
      </c>
      <c r="C297" s="27">
        <f t="shared" si="17"/>
        <v>1.7823908053185618E-4</v>
      </c>
      <c r="D297" s="14">
        <v>21.979900000000001</v>
      </c>
      <c r="E297" s="14">
        <v>22.22</v>
      </c>
      <c r="F297" s="14">
        <v>21.66</v>
      </c>
      <c r="G297" s="19"/>
    </row>
    <row r="298" spans="1:7" x14ac:dyDescent="0.25">
      <c r="A298" s="6" t="s">
        <v>6</v>
      </c>
      <c r="B298" s="26">
        <v>18318</v>
      </c>
      <c r="C298" s="28">
        <f t="shared" si="17"/>
        <v>1.5902700682784773E-4</v>
      </c>
      <c r="D298" s="15">
        <f>((22.1166*3039)+(22.111*9929)+(22.087*5350))/B298</f>
        <v>22.104919554536522</v>
      </c>
      <c r="E298" s="15">
        <v>22.24</v>
      </c>
      <c r="F298" s="15">
        <v>21.92</v>
      </c>
      <c r="G298" s="20"/>
    </row>
    <row r="299" spans="1:7" x14ac:dyDescent="0.25">
      <c r="A299" s="11">
        <v>44777</v>
      </c>
      <c r="B299" s="12">
        <v>38849</v>
      </c>
      <c r="C299" s="27">
        <f t="shared" si="17"/>
        <v>3.3726608735970391E-4</v>
      </c>
      <c r="D299" s="13">
        <v>22.451799999999999</v>
      </c>
      <c r="E299" s="13"/>
      <c r="F299" s="13"/>
      <c r="G299" s="12">
        <f>B299*D299</f>
        <v>872229.9781999999</v>
      </c>
    </row>
    <row r="300" spans="1:7" x14ac:dyDescent="0.25">
      <c r="A300" s="5" t="s">
        <v>5</v>
      </c>
      <c r="B300" s="7">
        <v>27711</v>
      </c>
      <c r="C300" s="27">
        <f t="shared" si="17"/>
        <v>2.40571972169805E-4</v>
      </c>
      <c r="D300" s="14">
        <v>22.442399999999999</v>
      </c>
      <c r="E300" s="14">
        <v>22.56</v>
      </c>
      <c r="F300" s="14">
        <v>22.26</v>
      </c>
      <c r="G300" s="19"/>
    </row>
    <row r="301" spans="1:7" x14ac:dyDescent="0.25">
      <c r="A301" s="6" t="s">
        <v>6</v>
      </c>
      <c r="B301" s="26">
        <v>11138</v>
      </c>
      <c r="C301" s="28">
        <f t="shared" si="17"/>
        <v>9.6694115189898885E-5</v>
      </c>
      <c r="D301" s="15">
        <f>((22.4811*3462)+(22.4659*6475)+(22.5074*1201))/B301</f>
        <v>22.475099488238467</v>
      </c>
      <c r="E301" s="15">
        <v>22.54</v>
      </c>
      <c r="F301" s="15">
        <v>22.34</v>
      </c>
      <c r="G301" s="20"/>
    </row>
    <row r="302" spans="1:7" x14ac:dyDescent="0.25">
      <c r="A302" s="11">
        <v>44778</v>
      </c>
      <c r="B302" s="12">
        <v>38849</v>
      </c>
      <c r="C302" s="27">
        <f t="shared" si="17"/>
        <v>3.3726608735970391E-4</v>
      </c>
      <c r="D302" s="13">
        <v>22.5428</v>
      </c>
      <c r="E302" s="13"/>
      <c r="F302" s="13"/>
      <c r="G302" s="12">
        <f>B302*D302</f>
        <v>875765.23719999997</v>
      </c>
    </row>
    <row r="303" spans="1:7" x14ac:dyDescent="0.25">
      <c r="A303" s="5" t="s">
        <v>5</v>
      </c>
      <c r="B303" s="7">
        <v>26328</v>
      </c>
      <c r="C303" s="27">
        <f t="shared" si="17"/>
        <v>2.2856551128745358E-4</v>
      </c>
      <c r="D303" s="14">
        <v>22.548100000000002</v>
      </c>
      <c r="E303" s="14">
        <v>22.72</v>
      </c>
      <c r="F303" s="14">
        <v>22.38</v>
      </c>
      <c r="G303" s="19"/>
    </row>
    <row r="304" spans="1:7" x14ac:dyDescent="0.25">
      <c r="A304" s="6" t="s">
        <v>6</v>
      </c>
      <c r="B304" s="26">
        <v>12521</v>
      </c>
      <c r="C304" s="28">
        <f t="shared" si="17"/>
        <v>1.0870057607225031E-4</v>
      </c>
      <c r="D304" s="15">
        <f>((22.533*3471)+(22.5279*7967)+(22.5544*1083))/B304</f>
        <v>22.531605902084497</v>
      </c>
      <c r="E304" s="15">
        <v>22.68</v>
      </c>
      <c r="F304" s="15">
        <v>22.36</v>
      </c>
      <c r="G304" s="20"/>
    </row>
    <row r="305" spans="1:8" x14ac:dyDescent="0.25">
      <c r="A305" s="11">
        <v>44781</v>
      </c>
      <c r="B305" s="12">
        <v>38849</v>
      </c>
      <c r="C305" s="27">
        <f t="shared" si="17"/>
        <v>3.3726608735970391E-4</v>
      </c>
      <c r="D305" s="13">
        <v>22.9374</v>
      </c>
      <c r="E305" s="13"/>
      <c r="F305" s="13"/>
      <c r="G305" s="12">
        <f>B305*D305</f>
        <v>891095.05260000005</v>
      </c>
      <c r="H305" s="19"/>
    </row>
    <row r="306" spans="1:8" x14ac:dyDescent="0.25">
      <c r="A306" s="5" t="s">
        <v>5</v>
      </c>
      <c r="B306" s="7">
        <v>28669</v>
      </c>
      <c r="C306" s="27">
        <f t="shared" si="17"/>
        <v>2.4888881202901879E-4</v>
      </c>
      <c r="D306" s="14">
        <v>22.940100000000001</v>
      </c>
      <c r="E306" s="14">
        <v>23.26</v>
      </c>
      <c r="F306" s="14">
        <v>22.44</v>
      </c>
      <c r="G306" s="19"/>
      <c r="H306" s="19"/>
    </row>
    <row r="307" spans="1:8" x14ac:dyDescent="0.25">
      <c r="A307" s="6" t="s">
        <v>6</v>
      </c>
      <c r="B307" s="26">
        <v>10180</v>
      </c>
      <c r="C307" s="28">
        <f>B307/$M$4</f>
        <v>8.8377275330685102E-5</v>
      </c>
      <c r="D307" s="15">
        <v>22.929737013752455</v>
      </c>
      <c r="E307" s="15">
        <v>23.24</v>
      </c>
      <c r="F307" s="15">
        <v>22.52</v>
      </c>
      <c r="G307" s="20"/>
      <c r="H307" s="19"/>
    </row>
    <row r="308" spans="1:8" x14ac:dyDescent="0.25">
      <c r="A308" s="11">
        <v>44782</v>
      </c>
      <c r="B308" s="12">
        <v>38849</v>
      </c>
      <c r="C308" s="27">
        <f t="shared" ref="C308:C309" si="18">B308/$M$4</f>
        <v>3.3726608735970391E-4</v>
      </c>
      <c r="D308" s="13">
        <v>22.628</v>
      </c>
      <c r="E308" s="13"/>
      <c r="F308" s="13"/>
      <c r="G308" s="12">
        <f>B308*D308</f>
        <v>879075.17200000002</v>
      </c>
      <c r="H308" s="19"/>
    </row>
    <row r="309" spans="1:8" x14ac:dyDescent="0.25">
      <c r="A309" s="5" t="s">
        <v>5</v>
      </c>
      <c r="B309" s="7">
        <v>28219</v>
      </c>
      <c r="C309" s="27">
        <f t="shared" si="18"/>
        <v>2.4498215447510836E-4</v>
      </c>
      <c r="D309" s="14">
        <v>22.6236</v>
      </c>
      <c r="E309" s="14">
        <v>23.14</v>
      </c>
      <c r="F309" s="14">
        <v>22.22</v>
      </c>
      <c r="G309" s="19"/>
      <c r="H309" s="19"/>
    </row>
    <row r="310" spans="1:8" x14ac:dyDescent="0.25">
      <c r="A310" s="6" t="s">
        <v>6</v>
      </c>
      <c r="B310" s="26">
        <v>10630</v>
      </c>
      <c r="C310" s="28">
        <f>B310/$M$4</f>
        <v>9.2283932884595552E-5</v>
      </c>
      <c r="D310" s="15">
        <v>22.639703753527751</v>
      </c>
      <c r="E310" s="15">
        <v>23</v>
      </c>
      <c r="F310" s="15">
        <v>22.38</v>
      </c>
      <c r="G310" s="20"/>
      <c r="H310" s="19"/>
    </row>
    <row r="311" spans="1:8" x14ac:dyDescent="0.25">
      <c r="A311" s="11">
        <v>44783</v>
      </c>
      <c r="B311" s="12">
        <v>38849</v>
      </c>
      <c r="C311" s="27">
        <f t="shared" ref="C311:C312" si="19">B311/$M$4</f>
        <v>3.3726608735970391E-4</v>
      </c>
      <c r="D311" s="13">
        <v>23.689399999999999</v>
      </c>
      <c r="E311" s="13"/>
      <c r="F311" s="13"/>
      <c r="G311" s="12">
        <f>B311*D311</f>
        <v>920309.50059999991</v>
      </c>
      <c r="H311" s="19"/>
    </row>
    <row r="312" spans="1:8" x14ac:dyDescent="0.25">
      <c r="A312" s="5" t="s">
        <v>5</v>
      </c>
      <c r="B312" s="7">
        <v>30067</v>
      </c>
      <c r="C312" s="27">
        <f t="shared" si="19"/>
        <v>2.6102549482983392E-4</v>
      </c>
      <c r="D312" s="14">
        <v>23.634799999999998</v>
      </c>
      <c r="E312" s="14">
        <v>24.78</v>
      </c>
      <c r="F312" s="14">
        <v>22.32</v>
      </c>
      <c r="G312" s="19"/>
      <c r="H312" s="19"/>
    </row>
    <row r="313" spans="1:8" x14ac:dyDescent="0.25">
      <c r="A313" s="6" t="s">
        <v>6</v>
      </c>
      <c r="B313" s="26">
        <v>8782</v>
      </c>
      <c r="C313" s="28">
        <f>B313/$M$4</f>
        <v>7.6240592529870006E-5</v>
      </c>
      <c r="D313" s="15">
        <v>23.87609398770212</v>
      </c>
      <c r="E313" s="15">
        <v>24.74</v>
      </c>
      <c r="F313" s="15">
        <v>23.22</v>
      </c>
      <c r="G313" s="20"/>
      <c r="H313" s="19"/>
    </row>
    <row r="314" spans="1:8" x14ac:dyDescent="0.25">
      <c r="A314" s="11">
        <v>44784</v>
      </c>
      <c r="B314" s="12">
        <v>38849</v>
      </c>
      <c r="C314" s="27">
        <f t="shared" ref="C314:C315" si="20">B314/$M$4</f>
        <v>3.3726608735970391E-4</v>
      </c>
      <c r="D314" s="13">
        <v>24.4785</v>
      </c>
      <c r="E314" s="13"/>
      <c r="F314" s="13"/>
      <c r="G314" s="12">
        <f>B314*D314</f>
        <v>950965.24650000001</v>
      </c>
      <c r="H314" s="19"/>
    </row>
    <row r="315" spans="1:8" x14ac:dyDescent="0.25">
      <c r="A315" s="5" t="s">
        <v>5</v>
      </c>
      <c r="B315" s="7">
        <v>27653</v>
      </c>
      <c r="C315" s="27">
        <f t="shared" si="20"/>
        <v>2.400684474184121E-4</v>
      </c>
      <c r="D315" s="14">
        <v>24.485099999999999</v>
      </c>
      <c r="E315" s="14">
        <v>24.68</v>
      </c>
      <c r="F315" s="14">
        <v>24.36</v>
      </c>
      <c r="G315" s="19"/>
      <c r="H315" s="19"/>
    </row>
    <row r="316" spans="1:8" x14ac:dyDescent="0.25">
      <c r="A316" s="6" t="s">
        <v>6</v>
      </c>
      <c r="B316" s="26">
        <v>11196</v>
      </c>
      <c r="C316" s="28">
        <f>B316/$M$4</f>
        <v>9.7197639941291796E-5</v>
      </c>
      <c r="D316" s="15">
        <v>24.462148758485174</v>
      </c>
      <c r="E316" s="15">
        <v>24.68</v>
      </c>
      <c r="F316" s="15">
        <v>24.36</v>
      </c>
      <c r="G316" s="20"/>
      <c r="H316" s="19"/>
    </row>
    <row r="317" spans="1:8" x14ac:dyDescent="0.25">
      <c r="A317" s="11">
        <v>44785</v>
      </c>
      <c r="B317" s="12">
        <v>38849</v>
      </c>
      <c r="C317" s="27">
        <f t="shared" ref="C317:C318" si="21">B317/$M$4</f>
        <v>3.3726608735970391E-4</v>
      </c>
      <c r="D317" s="13">
        <v>24.581499999999998</v>
      </c>
      <c r="E317" s="13"/>
      <c r="F317" s="13"/>
      <c r="G317" s="12">
        <f>B317*D317</f>
        <v>954966.69349999994</v>
      </c>
      <c r="H317" s="19"/>
    </row>
    <row r="318" spans="1:8" x14ac:dyDescent="0.25">
      <c r="A318" s="5" t="s">
        <v>5</v>
      </c>
      <c r="B318" s="7">
        <v>28767</v>
      </c>
      <c r="C318" s="27">
        <f t="shared" si="21"/>
        <v>2.4973959522964819E-4</v>
      </c>
      <c r="D318" s="14">
        <v>24.5718</v>
      </c>
      <c r="E318" s="14">
        <v>24.74</v>
      </c>
      <c r="F318" s="14">
        <v>24.08</v>
      </c>
      <c r="G318" s="19"/>
      <c r="H318" s="19"/>
    </row>
    <row r="319" spans="1:8" x14ac:dyDescent="0.25">
      <c r="A319" s="6" t="s">
        <v>6</v>
      </c>
      <c r="B319" s="26">
        <v>10082</v>
      </c>
      <c r="C319" s="28">
        <f>B319/$M$4</f>
        <v>8.7526492130055717E-5</v>
      </c>
      <c r="D319" s="15">
        <v>24.60917043245388</v>
      </c>
      <c r="E319" s="15">
        <v>24.76</v>
      </c>
      <c r="F319" s="15">
        <v>24.5</v>
      </c>
      <c r="G319" s="20"/>
      <c r="H319" s="19"/>
    </row>
    <row r="320" spans="1:8" x14ac:dyDescent="0.25">
      <c r="A320" s="11">
        <v>44791</v>
      </c>
      <c r="B320" s="12">
        <v>42491</v>
      </c>
      <c r="C320" s="27">
        <f t="shared" ref="C320:C321" si="22">B320/$M$4</f>
        <v>3.6888396916268573E-4</v>
      </c>
      <c r="D320" s="13">
        <v>24.118300000000001</v>
      </c>
      <c r="E320" s="13"/>
      <c r="F320" s="13"/>
      <c r="G320" s="12">
        <f>B320*D320</f>
        <v>1024810.6853</v>
      </c>
      <c r="H320" s="19"/>
    </row>
    <row r="321" spans="1:8" x14ac:dyDescent="0.25">
      <c r="A321" s="5" t="s">
        <v>5</v>
      </c>
      <c r="B321" s="7">
        <v>30390</v>
      </c>
      <c r="C321" s="27">
        <f t="shared" si="22"/>
        <v>2.6382960680741848E-4</v>
      </c>
      <c r="D321" s="14">
        <v>24.1281</v>
      </c>
      <c r="E321" s="14">
        <v>24.32</v>
      </c>
      <c r="F321" s="14">
        <v>23.78</v>
      </c>
      <c r="G321" s="19"/>
      <c r="H321" s="19"/>
    </row>
    <row r="322" spans="1:8" x14ac:dyDescent="0.25">
      <c r="A322" s="6" t="s">
        <v>6</v>
      </c>
      <c r="B322" s="26">
        <v>12101</v>
      </c>
      <c r="C322" s="28">
        <f>B322/$M$4</f>
        <v>1.0505436235526724E-4</v>
      </c>
      <c r="D322" s="15">
        <v>24.093433964135194</v>
      </c>
      <c r="E322" s="15">
        <v>24.32</v>
      </c>
      <c r="F322" s="15">
        <v>23.84</v>
      </c>
      <c r="G322" s="20"/>
      <c r="H322" s="19"/>
    </row>
    <row r="323" spans="1:8" x14ac:dyDescent="0.25">
      <c r="A323" s="11">
        <v>44792</v>
      </c>
      <c r="B323" s="12">
        <v>42491</v>
      </c>
      <c r="C323" s="27">
        <f t="shared" ref="C323:C324" si="23">B323/$M$4</f>
        <v>3.6888396916268573E-4</v>
      </c>
      <c r="D323" s="13">
        <v>23.860399999999998</v>
      </c>
      <c r="E323" s="13"/>
      <c r="F323" s="13"/>
      <c r="G323" s="12">
        <f>B323*D323</f>
        <v>1013852.2564</v>
      </c>
      <c r="H323" s="19"/>
    </row>
    <row r="324" spans="1:8" x14ac:dyDescent="0.25">
      <c r="A324" s="5" t="s">
        <v>5</v>
      </c>
      <c r="B324" s="7">
        <v>30879</v>
      </c>
      <c r="C324" s="27">
        <f t="shared" si="23"/>
        <v>2.6807484134933453E-4</v>
      </c>
      <c r="D324" s="14">
        <v>23.8583</v>
      </c>
      <c r="E324" s="14">
        <v>23.94</v>
      </c>
      <c r="F324" s="14">
        <v>23.66</v>
      </c>
      <c r="G324" s="19"/>
      <c r="H324" s="19"/>
    </row>
    <row r="325" spans="1:8" x14ac:dyDescent="0.25">
      <c r="A325" s="6" t="s">
        <v>6</v>
      </c>
      <c r="B325" s="26">
        <v>11612</v>
      </c>
      <c r="C325" s="28">
        <f>B325/$M$4</f>
        <v>1.0080912781335123E-4</v>
      </c>
      <c r="D325" s="15">
        <f>((23.8296*3044)+(23.8843*7434)+(23.8447*1134))/B325</f>
        <v>23.866093558387874</v>
      </c>
      <c r="E325" s="15">
        <v>23.94</v>
      </c>
      <c r="F325" s="15">
        <v>23.66</v>
      </c>
      <c r="G325" s="20"/>
      <c r="H325" s="19"/>
    </row>
    <row r="326" spans="1:8" x14ac:dyDescent="0.25">
      <c r="A326" s="11">
        <v>44795</v>
      </c>
      <c r="B326" s="12">
        <v>42491</v>
      </c>
      <c r="C326" s="27">
        <f t="shared" ref="C326:C327" si="24">B326/$M$4</f>
        <v>3.6888396916268573E-4</v>
      </c>
      <c r="D326" s="13">
        <v>22.9056</v>
      </c>
      <c r="E326" s="13"/>
      <c r="F326" s="13"/>
      <c r="G326" s="12">
        <f>B326*D326</f>
        <v>973281.84959999996</v>
      </c>
      <c r="H326" s="19"/>
    </row>
    <row r="327" spans="1:8" x14ac:dyDescent="0.25">
      <c r="A327" s="5" t="s">
        <v>5</v>
      </c>
      <c r="B327" s="7">
        <v>33199</v>
      </c>
      <c r="C327" s="27">
        <f t="shared" si="24"/>
        <v>2.8821583140505058E-4</v>
      </c>
      <c r="D327" s="14">
        <v>22.9238</v>
      </c>
      <c r="E327" s="14">
        <v>23.64</v>
      </c>
      <c r="F327" s="14">
        <v>22.62</v>
      </c>
      <c r="G327" s="19"/>
      <c r="H327" s="19"/>
    </row>
    <row r="328" spans="1:8" x14ac:dyDescent="0.25">
      <c r="A328" s="6" t="s">
        <v>6</v>
      </c>
      <c r="B328" s="26">
        <v>9292</v>
      </c>
      <c r="C328" s="28">
        <f>B328/$M$4</f>
        <v>8.0668137757635168E-5</v>
      </c>
      <c r="D328" s="15">
        <f>((22.8174*3172)+(22.8627*3500)+(22.8386*2620))/B328</f>
        <v>22.84044068015497</v>
      </c>
      <c r="E328" s="15">
        <v>22.98</v>
      </c>
      <c r="F328" s="15">
        <v>22.68</v>
      </c>
      <c r="G328" s="20"/>
      <c r="H328" s="19"/>
    </row>
    <row r="329" spans="1:8" x14ac:dyDescent="0.25">
      <c r="A329" s="11">
        <v>44796</v>
      </c>
      <c r="B329" s="12">
        <v>42491</v>
      </c>
      <c r="C329" s="27">
        <f t="shared" ref="C329:C330" si="25">B329/$M$4</f>
        <v>3.6888396916268573E-4</v>
      </c>
      <c r="D329" s="13">
        <v>22.788900000000002</v>
      </c>
      <c r="E329" s="13"/>
      <c r="F329" s="13"/>
      <c r="G329" s="12">
        <f>B329*D329</f>
        <v>968323.14990000008</v>
      </c>
      <c r="H329" s="19"/>
    </row>
    <row r="330" spans="1:8" x14ac:dyDescent="0.25">
      <c r="A330" s="5" t="s">
        <v>5</v>
      </c>
      <c r="B330" s="7">
        <v>29410</v>
      </c>
      <c r="C330" s="27">
        <f t="shared" si="25"/>
        <v>2.5532177480112466E-4</v>
      </c>
      <c r="D330" s="14">
        <v>22.783100000000001</v>
      </c>
      <c r="E330" s="14">
        <v>22.9</v>
      </c>
      <c r="F330" s="14">
        <v>22.58</v>
      </c>
      <c r="G330" s="19"/>
      <c r="H330" s="19"/>
    </row>
    <row r="331" spans="1:8" x14ac:dyDescent="0.25">
      <c r="A331" s="6" t="s">
        <v>6</v>
      </c>
      <c r="B331" s="26">
        <v>13081</v>
      </c>
      <c r="C331" s="28">
        <f>B331/$M$4</f>
        <v>1.1356219436156109E-4</v>
      </c>
      <c r="D331" s="15">
        <f>((22.8408*3390)+(22.7982*6167)+(22.7704*3524))/B331</f>
        <v>22.801750707132481</v>
      </c>
      <c r="E331" s="15">
        <v>22.98</v>
      </c>
      <c r="F331" s="15">
        <v>22.62</v>
      </c>
      <c r="G331" s="20"/>
      <c r="H331" s="19"/>
    </row>
    <row r="332" spans="1:8" x14ac:dyDescent="0.25">
      <c r="A332" s="11">
        <v>44797</v>
      </c>
      <c r="B332" s="12">
        <v>42491</v>
      </c>
      <c r="C332" s="27">
        <f t="shared" ref="C332:C333" si="26">B332/$M$4</f>
        <v>3.6888396916268573E-4</v>
      </c>
      <c r="D332" s="13">
        <v>22.886299999999999</v>
      </c>
      <c r="E332" s="13"/>
      <c r="F332" s="13"/>
      <c r="G332" s="12">
        <f>B332*D332</f>
        <v>972461.77329999988</v>
      </c>
      <c r="H332" s="19"/>
    </row>
    <row r="333" spans="1:8" x14ac:dyDescent="0.25">
      <c r="A333" s="5" t="s">
        <v>5</v>
      </c>
      <c r="B333" s="7">
        <v>32983</v>
      </c>
      <c r="C333" s="27">
        <f t="shared" si="26"/>
        <v>2.8634063577917356E-4</v>
      </c>
      <c r="D333" s="14">
        <v>22.882899999999999</v>
      </c>
      <c r="E333" s="14">
        <v>23.02</v>
      </c>
      <c r="F333" s="14">
        <v>22.6</v>
      </c>
      <c r="G333" s="19"/>
      <c r="H333" s="19"/>
    </row>
    <row r="334" spans="1:8" x14ac:dyDescent="0.25">
      <c r="A334" s="6" t="s">
        <v>6</v>
      </c>
      <c r="B334" s="26">
        <v>9508</v>
      </c>
      <c r="C334" s="28">
        <f>B334/$M$4</f>
        <v>8.2543333383512175E-5</v>
      </c>
      <c r="D334" s="15">
        <f>((22.894*4140)+(22.9017*5368))/B334</f>
        <v>22.898347244425747</v>
      </c>
      <c r="E334" s="15">
        <v>23.08</v>
      </c>
      <c r="F334" s="15">
        <v>22.66</v>
      </c>
      <c r="G334" s="20"/>
      <c r="H334" s="19"/>
    </row>
    <row r="335" spans="1:8" x14ac:dyDescent="0.25">
      <c r="A335" s="11">
        <v>44798</v>
      </c>
      <c r="B335" s="12">
        <v>42375</v>
      </c>
      <c r="C335" s="27">
        <f t="shared" ref="C335:C336" si="27">B335/$M$4</f>
        <v>3.6787691965989994E-4</v>
      </c>
      <c r="D335" s="13">
        <v>23.212800000000001</v>
      </c>
      <c r="E335" s="13"/>
      <c r="F335" s="13"/>
      <c r="G335" s="12">
        <f>B335*D335</f>
        <v>983642.4</v>
      </c>
      <c r="H335" s="19"/>
    </row>
    <row r="336" spans="1:8" x14ac:dyDescent="0.25">
      <c r="A336" s="5" t="s">
        <v>5</v>
      </c>
      <c r="B336" s="7">
        <v>32262</v>
      </c>
      <c r="C336" s="27">
        <f t="shared" si="27"/>
        <v>2.8008130223168592E-4</v>
      </c>
      <c r="D336" s="14">
        <v>23.214300000000001</v>
      </c>
      <c r="E336" s="14">
        <v>23.64</v>
      </c>
      <c r="F336" s="14">
        <v>23</v>
      </c>
      <c r="G336" s="19"/>
      <c r="H336" s="19"/>
    </row>
    <row r="337" spans="1:8" x14ac:dyDescent="0.25">
      <c r="A337" s="6" t="s">
        <v>6</v>
      </c>
      <c r="B337" s="26">
        <v>10113</v>
      </c>
      <c r="C337" s="28">
        <f>B337/$M$4</f>
        <v>8.7795617428213993E-5</v>
      </c>
      <c r="D337" s="15">
        <f>((23.1506*3092)+(23.2503*3918)+(23.2116*3103))/B337</f>
        <v>23.207942786512412</v>
      </c>
      <c r="E337" s="15">
        <v>23.64</v>
      </c>
      <c r="F337" s="15">
        <v>23.06</v>
      </c>
      <c r="G337" s="20"/>
      <c r="H337" s="19"/>
    </row>
    <row r="338" spans="1:8" x14ac:dyDescent="0.25">
      <c r="A338" s="11">
        <v>44799</v>
      </c>
      <c r="B338" s="12">
        <v>42495</v>
      </c>
      <c r="C338" s="27">
        <f t="shared" ref="C338:C339" si="28">B338/$M$4</f>
        <v>3.6891869500760939E-4</v>
      </c>
      <c r="D338" s="13">
        <v>23.206</v>
      </c>
      <c r="E338" s="13"/>
      <c r="F338" s="13"/>
      <c r="G338" s="12">
        <f>B338*D338</f>
        <v>986138.97</v>
      </c>
      <c r="H338" s="19"/>
    </row>
    <row r="339" spans="1:8" x14ac:dyDescent="0.25">
      <c r="A339" s="5" t="s">
        <v>5</v>
      </c>
      <c r="B339" s="7">
        <v>31650</v>
      </c>
      <c r="C339" s="27">
        <f t="shared" si="28"/>
        <v>2.7476824795836776E-4</v>
      </c>
      <c r="D339" s="14">
        <v>23.200099999999999</v>
      </c>
      <c r="E339" s="14">
        <v>23.4</v>
      </c>
      <c r="F339" s="14">
        <v>22.82</v>
      </c>
      <c r="G339" s="19"/>
      <c r="H339" s="19"/>
    </row>
    <row r="340" spans="1:8" x14ac:dyDescent="0.25">
      <c r="A340" s="6" t="s">
        <v>6</v>
      </c>
      <c r="B340" s="26">
        <v>10845</v>
      </c>
      <c r="C340" s="28">
        <f>B340/$M$4</f>
        <v>9.4150447049241645E-5</v>
      </c>
      <c r="D340" s="15">
        <f>((23.1703*3535)+(23.2581*5826)+(23.2131*1484))/B340</f>
        <v>23.223323328722916</v>
      </c>
      <c r="E340" s="15">
        <v>23.4</v>
      </c>
      <c r="F340" s="15">
        <v>22.86</v>
      </c>
      <c r="G340" s="20"/>
      <c r="H340" s="19"/>
    </row>
    <row r="341" spans="1:8" x14ac:dyDescent="0.25">
      <c r="A341" s="11">
        <v>44802</v>
      </c>
      <c r="B341" s="12">
        <v>42495</v>
      </c>
      <c r="C341" s="27">
        <f t="shared" ref="C341:C342" si="29">B341/$M$4</f>
        <v>3.6891869500760939E-4</v>
      </c>
      <c r="D341" s="13">
        <v>22.9588</v>
      </c>
      <c r="E341" s="13"/>
      <c r="F341" s="13"/>
      <c r="G341" s="12">
        <f>B341*D341</f>
        <v>975634.20600000001</v>
      </c>
      <c r="H341" s="19"/>
    </row>
    <row r="342" spans="1:8" x14ac:dyDescent="0.25">
      <c r="A342" s="5" t="s">
        <v>5</v>
      </c>
      <c r="B342" s="7">
        <v>31230</v>
      </c>
      <c r="C342" s="27">
        <f t="shared" si="29"/>
        <v>2.7112203424138468E-4</v>
      </c>
      <c r="D342" s="14">
        <v>22.9453</v>
      </c>
      <c r="E342" s="14">
        <v>23.12</v>
      </c>
      <c r="F342" s="14">
        <v>22.44</v>
      </c>
      <c r="G342" s="19"/>
      <c r="H342" s="19"/>
    </row>
    <row r="343" spans="1:8" x14ac:dyDescent="0.25">
      <c r="A343" s="6" t="s">
        <v>6</v>
      </c>
      <c r="B343" s="26">
        <v>11265</v>
      </c>
      <c r="C343" s="28">
        <f>B343/$M$4</f>
        <v>9.7796660766224732E-5</v>
      </c>
      <c r="D343" s="15">
        <f>((22.9857*4884)+(22.9958*5560)+(23.061*821))/B343</f>
        <v>22.996172907234801</v>
      </c>
      <c r="E343" s="15">
        <v>23.12</v>
      </c>
      <c r="F343" s="15">
        <v>22.86</v>
      </c>
      <c r="G343" s="20"/>
      <c r="H343" s="19"/>
    </row>
    <row r="344" spans="1:8" x14ac:dyDescent="0.25">
      <c r="A344" s="11">
        <v>44803</v>
      </c>
      <c r="B344" s="12">
        <v>42495</v>
      </c>
      <c r="C344" s="27">
        <f t="shared" ref="C344:C345" si="30">B344/$M$4</f>
        <v>3.6891869500760939E-4</v>
      </c>
      <c r="D344" s="13">
        <v>23.504799999999999</v>
      </c>
      <c r="E344" s="13"/>
      <c r="F344" s="13"/>
      <c r="G344" s="12">
        <f>B344*D344</f>
        <v>998836.47600000002</v>
      </c>
      <c r="H344" s="19"/>
    </row>
    <row r="345" spans="1:8" x14ac:dyDescent="0.25">
      <c r="A345" s="5" t="s">
        <v>5</v>
      </c>
      <c r="B345" s="7">
        <v>31232</v>
      </c>
      <c r="C345" s="27">
        <f t="shared" si="30"/>
        <v>2.7113939716384651E-4</v>
      </c>
      <c r="D345" s="14">
        <v>23.488299999999999</v>
      </c>
      <c r="E345" s="14">
        <v>23.72</v>
      </c>
      <c r="F345" s="14">
        <v>23.1</v>
      </c>
      <c r="G345" s="19"/>
      <c r="H345" s="19"/>
    </row>
    <row r="346" spans="1:8" x14ac:dyDescent="0.25">
      <c r="A346" s="6" t="s">
        <v>6</v>
      </c>
      <c r="B346" s="26">
        <v>11263</v>
      </c>
      <c r="C346" s="28">
        <f>B346/$M$4</f>
        <v>9.7779297843762905E-5</v>
      </c>
      <c r="D346" s="15">
        <f>((23.601*4112)+(23.5153*6389)+(23.5764*762))/B346</f>
        <v>23.550721876942198</v>
      </c>
      <c r="E346" s="15">
        <v>23.72</v>
      </c>
      <c r="F346" s="15">
        <v>23.24</v>
      </c>
      <c r="G346" s="20"/>
      <c r="H346" s="19"/>
    </row>
    <row r="347" spans="1:8" x14ac:dyDescent="0.25">
      <c r="A347" s="11">
        <v>44804</v>
      </c>
      <c r="B347" s="12">
        <v>42495</v>
      </c>
      <c r="C347" s="27">
        <f t="shared" ref="C347:C348" si="31">B347/$M$4</f>
        <v>3.6891869500760939E-4</v>
      </c>
      <c r="D347" s="13">
        <v>23.332999999999998</v>
      </c>
      <c r="E347" s="13"/>
      <c r="F347" s="13"/>
      <c r="G347" s="12">
        <f>B347*D347</f>
        <v>991535.83499999996</v>
      </c>
      <c r="H347" s="19"/>
    </row>
    <row r="348" spans="1:8" x14ac:dyDescent="0.25">
      <c r="A348" s="5" t="s">
        <v>5</v>
      </c>
      <c r="B348" s="7">
        <v>34390</v>
      </c>
      <c r="C348" s="27">
        <f t="shared" si="31"/>
        <v>2.9855545173106688E-4</v>
      </c>
      <c r="D348" s="14">
        <v>23.329599999999999</v>
      </c>
      <c r="E348" s="14">
        <v>23.68</v>
      </c>
      <c r="F348" s="14">
        <v>23.14</v>
      </c>
      <c r="G348" s="19"/>
      <c r="H348" s="19"/>
    </row>
    <row r="349" spans="1:8" x14ac:dyDescent="0.25">
      <c r="A349" s="6" t="s">
        <v>6</v>
      </c>
      <c r="B349" s="26">
        <v>8105</v>
      </c>
      <c r="C349" s="28">
        <f>B349/$M$4</f>
        <v>7.036324327654251E-5</v>
      </c>
      <c r="D349" s="15">
        <f>((23.3647*2332)+(23.3552*4336)+(23.297*1437))/B349</f>
        <v>23.347614632942626</v>
      </c>
      <c r="E349" s="15">
        <v>23.68</v>
      </c>
      <c r="F349" s="15">
        <v>23.22</v>
      </c>
      <c r="G349" s="20"/>
      <c r="H349" s="19"/>
    </row>
    <row r="350" spans="1:8" x14ac:dyDescent="0.25">
      <c r="A350" s="11">
        <v>44805</v>
      </c>
      <c r="B350" s="12">
        <v>54000</v>
      </c>
      <c r="C350" s="27">
        <f t="shared" ref="C350:C351" si="32">B350/$M$4</f>
        <v>4.6879890646925299E-4</v>
      </c>
      <c r="D350" s="13">
        <v>22.331299999999999</v>
      </c>
      <c r="E350" s="13"/>
      <c r="F350" s="13"/>
      <c r="G350" s="12">
        <f>B350*D350</f>
        <v>1205890.2</v>
      </c>
      <c r="H350" s="19"/>
    </row>
    <row r="351" spans="1:8" x14ac:dyDescent="0.25">
      <c r="A351" s="5" t="s">
        <v>5</v>
      </c>
      <c r="B351" s="7">
        <v>39134</v>
      </c>
      <c r="C351" s="27">
        <f t="shared" si="32"/>
        <v>3.3974030381051385E-4</v>
      </c>
      <c r="D351" s="14">
        <v>22.337</v>
      </c>
      <c r="E351" s="14">
        <v>22.94</v>
      </c>
      <c r="F351" s="14">
        <v>22.12</v>
      </c>
      <c r="G351" s="19"/>
      <c r="H351" s="19"/>
    </row>
    <row r="352" spans="1:8" x14ac:dyDescent="0.25">
      <c r="A352" s="6" t="s">
        <v>6</v>
      </c>
      <c r="B352" s="26">
        <v>14866</v>
      </c>
      <c r="C352" s="28">
        <f>B352/$M$4</f>
        <v>1.2905860265873917E-4</v>
      </c>
      <c r="D352" s="15">
        <f>((22.3133*3976)+(22.3124*10197)+(22.3924*693))/B352</f>
        <v>22.316370025561685</v>
      </c>
      <c r="E352" s="15">
        <v>23.04</v>
      </c>
      <c r="F352" s="15">
        <v>22.16</v>
      </c>
      <c r="G352" s="20"/>
      <c r="H352" s="19"/>
    </row>
    <row r="353" spans="1:8" x14ac:dyDescent="0.25">
      <c r="A353" s="11">
        <v>44806</v>
      </c>
      <c r="B353" s="12">
        <v>41947</v>
      </c>
      <c r="C353" s="27">
        <f t="shared" ref="C353" si="33">B353/$M$4</f>
        <v>3.6416125425306955E-4</v>
      </c>
      <c r="D353" s="13">
        <v>22.828900000000001</v>
      </c>
      <c r="E353" s="13"/>
      <c r="F353" s="13"/>
      <c r="G353" s="12">
        <f>B353*D353</f>
        <v>957603.86830000009</v>
      </c>
      <c r="H353" s="19"/>
    </row>
    <row r="354" spans="1:8" x14ac:dyDescent="0.25">
      <c r="A354" s="5" t="s">
        <v>5</v>
      </c>
      <c r="B354" s="7">
        <v>37525</v>
      </c>
      <c r="C354" s="27">
        <f>B354/$M$4</f>
        <v>3.2577183268997631E-4</v>
      </c>
      <c r="D354" s="14">
        <v>22.8278</v>
      </c>
      <c r="E354" s="14">
        <v>23.26</v>
      </c>
      <c r="F354" s="14">
        <v>22.46</v>
      </c>
      <c r="G354" s="19"/>
      <c r="H354" s="19"/>
    </row>
    <row r="355" spans="1:8" x14ac:dyDescent="0.25">
      <c r="A355" s="6" t="s">
        <v>6</v>
      </c>
      <c r="B355" s="26">
        <v>4422</v>
      </c>
      <c r="C355" s="28">
        <f>B355/$M$4</f>
        <v>3.8389421563093273E-5</v>
      </c>
      <c r="D355" s="15">
        <f>((22.8*350)+(22.8659*3353)+(22.7306*719))/B355</f>
        <v>22.838684780642243</v>
      </c>
      <c r="E355" s="15">
        <v>23.18</v>
      </c>
      <c r="F355" s="15">
        <v>22.68</v>
      </c>
      <c r="G355" s="20"/>
      <c r="H355" s="19"/>
    </row>
    <row r="356" spans="1:8" x14ac:dyDescent="0.25">
      <c r="A356" s="11">
        <v>44809</v>
      </c>
      <c r="B356" s="12">
        <v>54709</v>
      </c>
      <c r="C356" s="27">
        <f t="shared" ref="C356" si="34">B356/$M$4</f>
        <v>4.7495406248196966E-4</v>
      </c>
      <c r="D356" s="13">
        <v>22.371300000000002</v>
      </c>
      <c r="E356" s="13"/>
      <c r="F356" s="13"/>
      <c r="G356" s="12">
        <f>B356*D356</f>
        <v>1223911.4517000001</v>
      </c>
      <c r="H356" s="19"/>
    </row>
    <row r="357" spans="1:8" x14ac:dyDescent="0.25">
      <c r="A357" s="5" t="s">
        <v>5</v>
      </c>
      <c r="B357" s="7">
        <v>34786</v>
      </c>
      <c r="C357" s="27">
        <f>B357/$M$4</f>
        <v>3.0199331037850807E-4</v>
      </c>
      <c r="D357" s="14">
        <v>22.3599</v>
      </c>
      <c r="E357" s="14">
        <v>22.52</v>
      </c>
      <c r="F357" s="14">
        <v>22.22</v>
      </c>
      <c r="G357" s="19"/>
    </row>
    <row r="358" spans="1:8" x14ac:dyDescent="0.25">
      <c r="A358" s="6" t="s">
        <v>6</v>
      </c>
      <c r="B358" s="26">
        <v>19923</v>
      </c>
      <c r="C358" s="28">
        <f>B358/$M$4</f>
        <v>1.7296075210346162E-4</v>
      </c>
      <c r="D358" s="15">
        <v>22.391242026803191</v>
      </c>
      <c r="E358" s="15">
        <v>22.52</v>
      </c>
      <c r="F358" s="15">
        <v>22.22</v>
      </c>
      <c r="G358" s="20"/>
      <c r="H358" s="19"/>
    </row>
    <row r="359" spans="1:8" x14ac:dyDescent="0.25">
      <c r="A359" s="11">
        <v>44810</v>
      </c>
      <c r="B359" s="12">
        <v>41276</v>
      </c>
      <c r="C359" s="27">
        <f t="shared" ref="C359" si="35">B359/$M$4</f>
        <v>3.5833599376712755E-4</v>
      </c>
      <c r="D359" s="13">
        <v>22.626999999999999</v>
      </c>
      <c r="E359" s="13"/>
      <c r="F359" s="13"/>
      <c r="G359" s="12">
        <f>B359*D359</f>
        <v>933952.05199999991</v>
      </c>
      <c r="H359" s="19"/>
    </row>
    <row r="360" spans="1:8" x14ac:dyDescent="0.25">
      <c r="A360" s="5" t="s">
        <v>5</v>
      </c>
      <c r="B360" s="7">
        <v>26008</v>
      </c>
      <c r="C360" s="27">
        <f>B360/$M$4</f>
        <v>2.2578744369356171E-4</v>
      </c>
      <c r="D360" s="14">
        <v>22.61</v>
      </c>
      <c r="E360" s="14">
        <v>22.88</v>
      </c>
      <c r="F360" s="14">
        <v>22.34</v>
      </c>
      <c r="G360" s="19"/>
      <c r="H360" s="19"/>
    </row>
    <row r="361" spans="1:8" x14ac:dyDescent="0.25">
      <c r="A361" s="6" t="s">
        <v>6</v>
      </c>
      <c r="B361" s="26">
        <v>15268</v>
      </c>
      <c r="C361" s="28">
        <f>B361/$M$4</f>
        <v>1.3254855007356584E-4</v>
      </c>
      <c r="D361" s="15">
        <v>22.655951047943407</v>
      </c>
      <c r="E361" s="15">
        <v>22.92</v>
      </c>
      <c r="F361" s="15">
        <v>22.38</v>
      </c>
      <c r="G361" s="20"/>
      <c r="H361" s="19"/>
    </row>
    <row r="362" spans="1:8" x14ac:dyDescent="0.25">
      <c r="A362" s="11">
        <v>44811</v>
      </c>
      <c r="B362" s="12">
        <v>41276</v>
      </c>
      <c r="C362" s="27">
        <f t="shared" ref="C362" si="36">B362/$M$4</f>
        <v>3.5833599376712755E-4</v>
      </c>
      <c r="D362" s="13">
        <v>22.680599999999998</v>
      </c>
      <c r="E362" s="13"/>
      <c r="F362" s="13"/>
      <c r="G362" s="12">
        <f>B362*D362</f>
        <v>936164.44559999998</v>
      </c>
      <c r="H362" s="19"/>
    </row>
    <row r="363" spans="1:8" x14ac:dyDescent="0.25">
      <c r="A363" s="5" t="s">
        <v>5</v>
      </c>
      <c r="B363" s="7">
        <v>26018</v>
      </c>
      <c r="C363" s="27">
        <f>B363/$M$4</f>
        <v>2.2587425830587085E-4</v>
      </c>
      <c r="D363" s="14">
        <v>22.649699999999999</v>
      </c>
      <c r="E363" s="14">
        <v>22.98</v>
      </c>
      <c r="F363" s="14">
        <v>22.36</v>
      </c>
      <c r="G363" s="19"/>
      <c r="H363" s="19"/>
    </row>
    <row r="364" spans="1:8" x14ac:dyDescent="0.25">
      <c r="A364" s="6" t="s">
        <v>6</v>
      </c>
      <c r="B364" s="26">
        <v>15258</v>
      </c>
      <c r="C364" s="28">
        <f>B364/$M$4</f>
        <v>1.3246173546125671E-4</v>
      </c>
      <c r="D364" s="15">
        <v>22.733097594704418</v>
      </c>
      <c r="E364" s="15">
        <v>23</v>
      </c>
      <c r="F364" s="15">
        <v>22.52</v>
      </c>
      <c r="G364" s="20"/>
      <c r="H364" s="19"/>
    </row>
    <row r="365" spans="1:8" x14ac:dyDescent="0.25">
      <c r="A365" s="11">
        <v>44812</v>
      </c>
      <c r="B365" s="12">
        <v>41275</v>
      </c>
      <c r="C365" s="27">
        <f t="shared" ref="C365" si="37">B365/$M$4</f>
        <v>3.5832731230589661E-4</v>
      </c>
      <c r="D365" s="13">
        <v>23.2897</v>
      </c>
      <c r="E365" s="13"/>
      <c r="F365" s="13"/>
      <c r="G365" s="12">
        <f>B365*D365</f>
        <v>961282.36750000005</v>
      </c>
      <c r="H365" s="19"/>
    </row>
    <row r="366" spans="1:8" x14ac:dyDescent="0.25">
      <c r="A366" s="5" t="s">
        <v>5</v>
      </c>
      <c r="B366" s="7">
        <v>28178</v>
      </c>
      <c r="C366" s="27">
        <f>B366/$M$4</f>
        <v>2.4462621456464097E-4</v>
      </c>
      <c r="D366" s="14">
        <v>23.2653</v>
      </c>
      <c r="E366" s="14">
        <v>23.44</v>
      </c>
      <c r="F366" s="14">
        <v>23.02</v>
      </c>
      <c r="G366" s="19"/>
      <c r="H366" s="19"/>
    </row>
    <row r="367" spans="1:8" x14ac:dyDescent="0.25">
      <c r="A367" s="6" t="s">
        <v>6</v>
      </c>
      <c r="B367" s="26">
        <v>13097</v>
      </c>
      <c r="C367" s="28">
        <f>B367/$M$4</f>
        <v>1.1370109774125568E-4</v>
      </c>
      <c r="D367" s="15">
        <f>((23.3721*5395)+(23.3251*7568)+(23.1233*134))/B367</f>
        <v>23.342395854012366</v>
      </c>
      <c r="E367" s="15">
        <v>23.42</v>
      </c>
      <c r="F367" s="15">
        <v>23.1</v>
      </c>
      <c r="G367" s="20"/>
      <c r="H367" s="19"/>
    </row>
    <row r="368" spans="1:8" x14ac:dyDescent="0.25">
      <c r="A368" s="11">
        <v>44813</v>
      </c>
      <c r="B368" s="12">
        <v>41276</v>
      </c>
      <c r="C368" s="27">
        <f t="shared" ref="C368" si="38">B368/$M$4</f>
        <v>3.5833599376712755E-4</v>
      </c>
      <c r="D368" s="13">
        <v>23.505800000000001</v>
      </c>
      <c r="E368" s="13"/>
      <c r="F368" s="13"/>
      <c r="G368" s="12">
        <f>B368*D368</f>
        <v>970225.40080000006</v>
      </c>
      <c r="H368" s="19"/>
    </row>
    <row r="369" spans="1:8" x14ac:dyDescent="0.25">
      <c r="A369" s="5" t="s">
        <v>5</v>
      </c>
      <c r="B369" s="7">
        <v>28857</v>
      </c>
      <c r="C369" s="27">
        <f>B369/$M$4</f>
        <v>2.5052092674043028E-4</v>
      </c>
      <c r="D369" s="14">
        <v>23.5062</v>
      </c>
      <c r="E369" s="14">
        <v>23.64</v>
      </c>
      <c r="F369" s="14">
        <v>23.4</v>
      </c>
      <c r="G369" s="19"/>
      <c r="H369" s="19"/>
    </row>
    <row r="370" spans="1:8" x14ac:dyDescent="0.25">
      <c r="A370" s="6" t="s">
        <v>6</v>
      </c>
      <c r="B370" s="26">
        <v>12419</v>
      </c>
      <c r="C370" s="28">
        <f>B370/$M$4</f>
        <v>1.0781506702669729E-4</v>
      </c>
      <c r="D370" s="15">
        <f>((23.5268*1992)+(23.5015*7180)+(23.4995*3247))/B370</f>
        <v>23.505035196070537</v>
      </c>
      <c r="E370" s="15">
        <v>23.54</v>
      </c>
      <c r="F370" s="15">
        <v>23.42</v>
      </c>
      <c r="G370" s="20"/>
      <c r="H370" s="19"/>
    </row>
    <row r="371" spans="1:8" x14ac:dyDescent="0.25">
      <c r="A371" s="11">
        <v>44816</v>
      </c>
      <c r="B371" s="12">
        <v>41275</v>
      </c>
      <c r="C371" s="27">
        <f t="shared" ref="C371" si="39">B371/$M$4</f>
        <v>3.5832731230589661E-4</v>
      </c>
      <c r="D371" s="13">
        <v>24.082699999999999</v>
      </c>
      <c r="E371" s="13"/>
      <c r="F371" s="13"/>
      <c r="G371" s="12">
        <f>B371*D371</f>
        <v>994013.4425</v>
      </c>
      <c r="H371" s="19"/>
    </row>
    <row r="372" spans="1:8" x14ac:dyDescent="0.25">
      <c r="A372" s="5" t="s">
        <v>5</v>
      </c>
      <c r="B372" s="7">
        <v>32550</v>
      </c>
      <c r="C372" s="27">
        <f>B372/$M$4</f>
        <v>2.8258156306618863E-4</v>
      </c>
      <c r="D372" s="14">
        <v>24.068100000000001</v>
      </c>
      <c r="E372" s="14">
        <v>24.34</v>
      </c>
      <c r="F372" s="14">
        <v>23.56</v>
      </c>
      <c r="G372" s="19"/>
      <c r="H372" s="19"/>
    </row>
    <row r="373" spans="1:8" x14ac:dyDescent="0.25">
      <c r="A373" s="6" t="s">
        <v>6</v>
      </c>
      <c r="B373" s="26">
        <v>8725</v>
      </c>
      <c r="C373" s="28">
        <f>B373/$M$4</f>
        <v>7.574574923970801E-5</v>
      </c>
      <c r="D373" s="15">
        <f>((24.1771*3521)+(24.106*4893)+(24.1783*311))/B373</f>
        <v>24.137269730659025</v>
      </c>
      <c r="E373" s="15">
        <v>24.26</v>
      </c>
      <c r="F373" s="15">
        <v>23.62</v>
      </c>
      <c r="G373" s="20"/>
      <c r="H373" s="19"/>
    </row>
    <row r="374" spans="1:8" x14ac:dyDescent="0.25">
      <c r="A374" s="11">
        <v>44817</v>
      </c>
      <c r="B374" s="12">
        <v>41276</v>
      </c>
      <c r="C374" s="27">
        <f t="shared" ref="C374" si="40">B374/$M$4</f>
        <v>3.5833599376712755E-4</v>
      </c>
      <c r="D374" s="13">
        <v>23.808800000000002</v>
      </c>
      <c r="E374" s="13"/>
      <c r="F374" s="13"/>
      <c r="G374" s="12">
        <f>B374*D374</f>
        <v>982732.02880000009</v>
      </c>
      <c r="H374" s="19"/>
    </row>
    <row r="375" spans="1:8" x14ac:dyDescent="0.25">
      <c r="A375" s="5" t="s">
        <v>5</v>
      </c>
      <c r="B375" s="7">
        <v>23734</v>
      </c>
      <c r="C375" s="27">
        <f>B375/$M$4</f>
        <v>2.0604580085446762E-4</v>
      </c>
      <c r="D375" s="14">
        <v>23.861899999999999</v>
      </c>
      <c r="E375" s="14">
        <v>24.3</v>
      </c>
      <c r="F375" s="14">
        <v>23.28</v>
      </c>
      <c r="G375" s="19"/>
      <c r="H375" s="19"/>
    </row>
    <row r="376" spans="1:8" x14ac:dyDescent="0.25">
      <c r="A376" s="6" t="s">
        <v>6</v>
      </c>
      <c r="B376" s="26">
        <v>17542</v>
      </c>
      <c r="C376" s="28">
        <f>B376/$M$4</f>
        <v>1.5229019291265993E-4</v>
      </c>
      <c r="D376" s="15">
        <f>((23.7133*5576)+(23.6455*9179)+(24.0851+2787))/B376</f>
        <v>20.070601436552273</v>
      </c>
      <c r="E376" s="15">
        <v>24.3</v>
      </c>
      <c r="F376" s="15">
        <v>23.28</v>
      </c>
      <c r="G376" s="20"/>
      <c r="H376" s="19"/>
    </row>
    <row r="377" spans="1:8" x14ac:dyDescent="0.25">
      <c r="A377" s="11">
        <v>44818</v>
      </c>
      <c r="B377" s="12">
        <v>41275</v>
      </c>
      <c r="C377" s="27">
        <f t="shared" ref="C377" si="41">B377/$M$4</f>
        <v>3.5832731230589661E-4</v>
      </c>
      <c r="D377" s="13">
        <v>22.811299999999999</v>
      </c>
      <c r="E377" s="13"/>
      <c r="F377" s="13"/>
      <c r="G377" s="12">
        <f>B377*D377</f>
        <v>941536.40749999997</v>
      </c>
      <c r="H377" s="19"/>
    </row>
    <row r="378" spans="1:8" x14ac:dyDescent="0.25">
      <c r="A378" s="5" t="s">
        <v>5</v>
      </c>
      <c r="B378" s="7">
        <v>32626</v>
      </c>
      <c r="C378" s="27">
        <f>B378/$M$4</f>
        <v>2.8324135411973792E-4</v>
      </c>
      <c r="D378" s="14">
        <v>22.832100000000001</v>
      </c>
      <c r="E378" s="14">
        <v>23.22</v>
      </c>
      <c r="F378" s="14">
        <v>22.46</v>
      </c>
      <c r="G378" s="19"/>
      <c r="H378" s="19"/>
    </row>
    <row r="379" spans="1:8" x14ac:dyDescent="0.25">
      <c r="A379" s="6" t="s">
        <v>6</v>
      </c>
      <c r="B379" s="26">
        <v>8649</v>
      </c>
      <c r="C379" s="28">
        <f>B379/$M$4</f>
        <v>7.508595818615869E-5</v>
      </c>
      <c r="D379" s="15">
        <f>((22.8675*1297)+(22.688*5488)+(22.7703*1864))/B379</f>
        <v>22.732654723089372</v>
      </c>
      <c r="E379" s="15">
        <v>23.16</v>
      </c>
      <c r="F379" s="15">
        <v>22.48</v>
      </c>
      <c r="G379" s="20"/>
      <c r="H379" s="19"/>
    </row>
    <row r="380" spans="1:8" x14ac:dyDescent="0.25">
      <c r="A380" s="11">
        <v>44819</v>
      </c>
      <c r="B380" s="12">
        <v>52700</v>
      </c>
      <c r="C380" s="27">
        <f t="shared" ref="C380" si="42">B380/$M$4</f>
        <v>4.5751300686906732E-4</v>
      </c>
      <c r="D380" s="13">
        <v>22.565000000000001</v>
      </c>
      <c r="E380" s="13"/>
      <c r="F380" s="13"/>
      <c r="G380" s="12">
        <f>B380*D380</f>
        <v>1189175.5</v>
      </c>
      <c r="H380" s="19"/>
    </row>
    <row r="381" spans="1:8" x14ac:dyDescent="0.25">
      <c r="A381" s="5" t="s">
        <v>5</v>
      </c>
      <c r="B381" s="7">
        <v>34068</v>
      </c>
      <c r="C381" s="27">
        <f>B381/$M$4</f>
        <v>2.957600212147132E-4</v>
      </c>
      <c r="D381" s="14">
        <v>22.575299999999999</v>
      </c>
      <c r="E381" s="14">
        <v>22.78</v>
      </c>
      <c r="F381" s="14">
        <v>22.36</v>
      </c>
      <c r="G381" s="19"/>
      <c r="H381" s="19"/>
    </row>
    <row r="382" spans="1:8" x14ac:dyDescent="0.25">
      <c r="A382" s="6" t="s">
        <v>6</v>
      </c>
      <c r="B382" s="26">
        <v>18632</v>
      </c>
      <c r="C382" s="28">
        <f>B382/$M$4</f>
        <v>1.6175298565435412E-4</v>
      </c>
      <c r="D382" s="15">
        <f>((22.5087*5550)+(22.5814*10225)+(22.4932*2857))/B382</f>
        <v>22.5462200729927</v>
      </c>
      <c r="E382" s="15">
        <v>22.78</v>
      </c>
      <c r="F382" s="15">
        <v>22.38</v>
      </c>
      <c r="G382" s="20"/>
      <c r="H382" s="19"/>
    </row>
    <row r="383" spans="1:8" x14ac:dyDescent="0.25">
      <c r="A383" s="11">
        <v>44820</v>
      </c>
      <c r="B383" s="12">
        <v>66750</v>
      </c>
      <c r="C383" s="27">
        <f t="shared" ref="C383" si="43">B383/$M$4</f>
        <v>5.7948753716338219E-4</v>
      </c>
      <c r="D383" s="13">
        <v>22.475300000000001</v>
      </c>
      <c r="E383" s="13"/>
      <c r="F383" s="13"/>
      <c r="G383" s="12">
        <f>B383*D383</f>
        <v>1500226.2750000001</v>
      </c>
      <c r="H383" s="19"/>
    </row>
    <row r="384" spans="1:8" x14ac:dyDescent="0.25">
      <c r="A384" s="5" t="s">
        <v>5</v>
      </c>
      <c r="B384" s="7">
        <v>35493</v>
      </c>
      <c r="C384" s="27">
        <f>B384/$M$4</f>
        <v>3.0813110346876292E-4</v>
      </c>
      <c r="D384" s="14">
        <v>22.434200000000001</v>
      </c>
      <c r="E384" s="14">
        <v>22.94</v>
      </c>
      <c r="F384" s="14">
        <v>22.1</v>
      </c>
      <c r="G384" s="19"/>
      <c r="H384" s="19"/>
    </row>
    <row r="385" spans="1:8" x14ac:dyDescent="0.25">
      <c r="A385" s="6" t="s">
        <v>6</v>
      </c>
      <c r="B385" s="26">
        <v>31257</v>
      </c>
      <c r="C385" s="28">
        <f>B385/$M$4</f>
        <v>2.7135643369461928E-4</v>
      </c>
      <c r="D385" s="15">
        <f>((22.5634*8010)+(22.5089*19632)+(22.5003*3615))/B385</f>
        <v>22.521871686342259</v>
      </c>
      <c r="E385" s="15">
        <v>23</v>
      </c>
      <c r="F385" s="15">
        <v>22.1</v>
      </c>
      <c r="G385" s="20"/>
      <c r="H385" s="19"/>
    </row>
    <row r="386" spans="1:8" x14ac:dyDescent="0.25">
      <c r="A386" s="11">
        <v>44823</v>
      </c>
      <c r="B386" s="12">
        <v>37586</v>
      </c>
      <c r="C386" s="27">
        <f t="shared" ref="C386" si="44">B386/$M$4</f>
        <v>3.2630140182506192E-4</v>
      </c>
      <c r="D386" s="13">
        <v>23.0364</v>
      </c>
      <c r="E386" s="13"/>
      <c r="F386" s="13"/>
      <c r="G386" s="12">
        <f>B386*D386</f>
        <v>865846.13040000002</v>
      </c>
      <c r="H386" s="19"/>
    </row>
    <row r="387" spans="1:8" x14ac:dyDescent="0.25">
      <c r="A387" s="5" t="s">
        <v>5</v>
      </c>
      <c r="B387" s="7">
        <v>23867</v>
      </c>
      <c r="C387" s="27">
        <f>B387/$M$4</f>
        <v>2.0720043519817892E-4</v>
      </c>
      <c r="D387" s="14">
        <v>23.063099999999999</v>
      </c>
      <c r="E387" s="14">
        <v>23.48</v>
      </c>
      <c r="F387" s="14">
        <v>22.7</v>
      </c>
      <c r="G387" s="19"/>
      <c r="H387" s="19"/>
    </row>
    <row r="388" spans="1:8" x14ac:dyDescent="0.25">
      <c r="A388" s="6" t="s">
        <v>6</v>
      </c>
      <c r="B388" s="26">
        <v>13719</v>
      </c>
      <c r="C388" s="28">
        <f>B388/$M$4</f>
        <v>1.19100966626883E-4</v>
      </c>
      <c r="D388" s="15">
        <v>22.990030541584662</v>
      </c>
      <c r="E388" s="15">
        <v>23.48</v>
      </c>
      <c r="F388" s="15">
        <v>22.52</v>
      </c>
      <c r="G388" s="20"/>
      <c r="H388" s="19"/>
    </row>
    <row r="389" spans="1:8" x14ac:dyDescent="0.25">
      <c r="A389" s="11">
        <v>44824</v>
      </c>
      <c r="B389" s="12">
        <v>72700</v>
      </c>
      <c r="C389" s="27">
        <f t="shared" ref="C389" si="45">B389/$M$4</f>
        <v>6.3114223148730915E-4</v>
      </c>
      <c r="D389" s="13">
        <v>22.440300000000001</v>
      </c>
      <c r="E389" s="13"/>
      <c r="F389" s="13"/>
      <c r="G389" s="12">
        <f>B389*D389</f>
        <v>1631409.81</v>
      </c>
      <c r="H389" s="19"/>
    </row>
    <row r="390" spans="1:8" x14ac:dyDescent="0.25">
      <c r="A390" s="5" t="s">
        <v>5</v>
      </c>
      <c r="B390" s="7">
        <v>49911</v>
      </c>
      <c r="C390" s="27">
        <f>B390/$M$4</f>
        <v>4.3330041149605345E-4</v>
      </c>
      <c r="D390" s="14">
        <v>22.4574</v>
      </c>
      <c r="E390" s="14">
        <v>23.2</v>
      </c>
      <c r="F390" s="14">
        <v>22.2</v>
      </c>
      <c r="G390" s="19"/>
      <c r="H390" s="19"/>
    </row>
    <row r="391" spans="1:8" x14ac:dyDescent="0.25">
      <c r="A391" s="6" t="s">
        <v>6</v>
      </c>
      <c r="B391" s="26">
        <v>22789</v>
      </c>
      <c r="C391" s="28">
        <f>B391/$M$4</f>
        <v>1.9784181999125567E-4</v>
      </c>
      <c r="D391" s="15">
        <v>22.402836640484441</v>
      </c>
      <c r="E391" s="15">
        <v>22.5</v>
      </c>
      <c r="F391" s="15">
        <v>22.32</v>
      </c>
      <c r="G391" s="20"/>
      <c r="H391" s="19"/>
    </row>
    <row r="392" spans="1:8" x14ac:dyDescent="0.25">
      <c r="A392" s="11">
        <v>44825</v>
      </c>
      <c r="B392" s="12">
        <v>102500</v>
      </c>
      <c r="C392" s="27">
        <f t="shared" ref="C392" si="46">B392/$M$4</f>
        <v>8.8984977616848957E-4</v>
      </c>
      <c r="D392" s="13">
        <v>22.2547</v>
      </c>
      <c r="E392" s="13"/>
      <c r="F392" s="13"/>
      <c r="G392" s="12">
        <f>B392*D392</f>
        <v>2281106.75</v>
      </c>
      <c r="H392" s="19"/>
    </row>
    <row r="393" spans="1:8" x14ac:dyDescent="0.25">
      <c r="A393" s="5" t="s">
        <v>5</v>
      </c>
      <c r="B393" s="7">
        <v>64938</v>
      </c>
      <c r="C393" s="27">
        <f>B393/$M$4</f>
        <v>5.6375672941296948E-4</v>
      </c>
      <c r="D393" s="14">
        <v>22.257200000000001</v>
      </c>
      <c r="E393" s="14">
        <v>22.38</v>
      </c>
      <c r="F393" s="14">
        <v>22.08</v>
      </c>
      <c r="G393" s="19"/>
      <c r="H393" s="19"/>
    </row>
    <row r="394" spans="1:8" x14ac:dyDescent="0.25">
      <c r="A394" s="6" t="s">
        <v>6</v>
      </c>
      <c r="B394" s="26">
        <v>37562</v>
      </c>
      <c r="C394" s="28">
        <f>B394/$M$4</f>
        <v>3.2609304675552004E-4</v>
      </c>
      <c r="D394" s="15">
        <v>22.250207124221287</v>
      </c>
      <c r="E394" s="15">
        <v>22.38</v>
      </c>
      <c r="F394" s="15">
        <v>22.08</v>
      </c>
      <c r="G394" s="20"/>
      <c r="H394" s="19"/>
    </row>
    <row r="395" spans="1:8" x14ac:dyDescent="0.25">
      <c r="A395" s="11">
        <v>44826</v>
      </c>
      <c r="B395" s="12">
        <v>81535</v>
      </c>
      <c r="C395" s="27">
        <f t="shared" ref="C395" si="47">B395/$M$4</f>
        <v>7.0784294146241744E-4</v>
      </c>
      <c r="D395" s="13">
        <v>21.953299999999999</v>
      </c>
      <c r="E395" s="13"/>
      <c r="F395" s="13"/>
      <c r="G395" s="12">
        <f>B395*D395</f>
        <v>1789962.3154999998</v>
      </c>
      <c r="H395" s="19"/>
    </row>
    <row r="396" spans="1:8" x14ac:dyDescent="0.25">
      <c r="A396" s="5" t="s">
        <v>5</v>
      </c>
      <c r="B396" s="7">
        <v>51250</v>
      </c>
      <c r="C396" s="27">
        <f>B396/$M$4</f>
        <v>4.4492488808424479E-4</v>
      </c>
      <c r="D396" s="14">
        <v>21.9437</v>
      </c>
      <c r="E396" s="14">
        <v>22.14</v>
      </c>
      <c r="F396" s="14">
        <v>21.72</v>
      </c>
      <c r="G396" s="19"/>
      <c r="H396" s="19"/>
    </row>
    <row r="397" spans="1:8" x14ac:dyDescent="0.25">
      <c r="A397" s="6" t="s">
        <v>6</v>
      </c>
      <c r="B397" s="26">
        <v>30285</v>
      </c>
      <c r="C397" s="28">
        <f>B397/$M$4</f>
        <v>2.6291805337817271E-4</v>
      </c>
      <c r="D397" s="15">
        <v>21.969414079577348</v>
      </c>
      <c r="E397" s="15">
        <v>22.16</v>
      </c>
      <c r="F397" s="15">
        <v>21.74</v>
      </c>
      <c r="G397" s="20"/>
      <c r="H397" s="19"/>
    </row>
    <row r="398" spans="1:8" x14ac:dyDescent="0.25">
      <c r="A398" s="11">
        <v>44827</v>
      </c>
      <c r="B398" s="12">
        <v>81535</v>
      </c>
      <c r="C398" s="27">
        <f t="shared" ref="C398" si="48">B398/$M$4</f>
        <v>7.0784294146241744E-4</v>
      </c>
      <c r="D398" s="13">
        <v>21.3095</v>
      </c>
      <c r="E398" s="13"/>
      <c r="F398" s="13"/>
      <c r="G398" s="12">
        <f>B398*D398</f>
        <v>1737470.0825</v>
      </c>
      <c r="H398" s="19"/>
    </row>
    <row r="399" spans="1:8" x14ac:dyDescent="0.25">
      <c r="A399" s="5" t="s">
        <v>5</v>
      </c>
      <c r="B399" s="7">
        <v>58360</v>
      </c>
      <c r="C399" s="27">
        <f>B399/$M$4</f>
        <v>5.0665007743602979E-4</v>
      </c>
      <c r="D399" s="14">
        <v>21.314399999999999</v>
      </c>
      <c r="E399" s="14">
        <v>21.76</v>
      </c>
      <c r="F399" s="14">
        <v>21.04</v>
      </c>
      <c r="G399" s="19"/>
      <c r="H399" s="19"/>
    </row>
    <row r="400" spans="1:8" x14ac:dyDescent="0.25">
      <c r="A400" s="6" t="s">
        <v>6</v>
      </c>
      <c r="B400" s="26">
        <v>23175</v>
      </c>
      <c r="C400" s="28">
        <f>B400/$M$4</f>
        <v>2.0119286402638776E-4</v>
      </c>
      <c r="D400" s="15">
        <f>((21.3856*4687)+(21.2558*15105)+(21.3588*3383))/B400</f>
        <v>21.297086800431497</v>
      </c>
      <c r="E400" s="15">
        <v>21.56</v>
      </c>
      <c r="F400" s="15">
        <v>21.06</v>
      </c>
      <c r="G400" s="20"/>
      <c r="H400" s="19"/>
    </row>
    <row r="401" spans="1:7" x14ac:dyDescent="0.25">
      <c r="A401" s="17"/>
      <c r="B401" s="7"/>
      <c r="C401" s="21"/>
      <c r="D401" s="14"/>
      <c r="E401" s="14"/>
      <c r="F401" t="s">
        <v>14</v>
      </c>
      <c r="G401" s="19"/>
    </row>
    <row r="402" spans="1:7" x14ac:dyDescent="0.25">
      <c r="A402" s="16" t="s">
        <v>7</v>
      </c>
      <c r="B402" s="12">
        <f>B2+B5+B8+B11+B14+B17+B86+B20+B23+B26+B29+B32+B35+B38+B41+B44+B47+B50+B53+B56+B59+B62+B65+B68+B71+B74+B77+B80+B83+B89+B92+B95+B98+B101+B104+B107+B110+B113+B116+B119+B122+B125+B128+B131+B134+B137+B140+B143+B146+B149+B152+B155+B158+B161+B164+B167+B170+B173+B176+B179+B182+B185+B188+B191+B194+B197+B200+B203+B206+B209+B212+B215+B218+B221+B224+B227+B230+B233+B236+B239+B242+B245+B248+B251+B254+B257+B260+B263+B266+B269+B272+B275+B278+B281+B284+B287+B290+B293+B296+B299+B302+B305+B308+B311+B314+B317+B320+B323+B326+B329+B332+B335+B338+B341+B344+B347+B350+B353+B356+B359+B362+B365+B368+B371+B374+B377+B380+B383+B386+B389+B392+B395+B398</f>
        <v>8830000</v>
      </c>
      <c r="C402" s="27">
        <f>C2+C5+C8+C11+C14+C17+C86+C20+C23+C26+C29+C32+C35+C38+C41+C44+C47+C50+C53+C56+C59+C62+C65+C68+C71+C74+C77+C80+C83+C89+C92+C95+C98+C101+C104+C107+C110+C113+C116+C119+C122+C125+C128+C131+C134+C137+C140+C143+C146+C149+C152+C155+C158+C161+C164+C167+C170+C173+C176+C179+C182+C185+C188+C191+C194+C197+C200+C203+C206+C209+C212+C215+C218+C221+C224+C227+C230+C233+C236+C239+C242+C245+C248+C251+C254+C257+C260+C263+C266+C269+C272+C275+C278+C281+C284+C287+C290+C293+C296+C299+C302+C305+C308+C311+C314+C317+C320+C323+C326+C329+C332+C335+C338+C341+C344+C347+C350+C353+C356+C359+C362+C365+C368+C371+C374+C377+C380+C383+C386+C389+C392+C395+C398</f>
        <v>7.6657302668953736E-2</v>
      </c>
      <c r="D402" s="13">
        <f>((D2*B2)+(D5*B5)+(D8*B8)+(B11*D11)+(D14*B14)+(D17*B17)+(D20*B20)+(D23*B23)+(D26*B26)+(D29*B29)+(D32*B32)+(D35*B35)+(D38*B38)+(D41*B41)+(B44*D44)+(B47*D47)+(D50*B50)+(D53*B53)+(B56*D56)+(D59*B59)+(D62*B62)+(D65*B65)+(B68*D68)+(B71*D71)+(D74*B74)+(D77*B77)+(D80*B80)+(D83*B83)+(D86*B86)+(D89*B89)+(D92*B92)+(D95*B95)+(D98*B98)+(D101*B101)+(D104*B104)+(D107*B107)+(D110*B110)+(B113*D113)+(B116*D116)+(B119*D119)+(D122*B122)+(D125*B125)+(D128*B128)+(D131*B131)+(B134*D134)+(D137*B137)+(D140*B140)+(D143*B143)+(D146*B146)+(D149*B149)+(D152*B152)+(D155*B155)+(B158*D158)+(B161*D161)+(D164*B164)+(D167*B167)+(D170*B170)+(D173*B173)+(D176*B176)+(B179*D179)+(B182*D182)+(B185*D185)+(B188*D188)+(B191*D191)+(B194*D194)+(B197*D197)+(B200*D200)+(B203*D203)+(D206*B206)+(B209*D209)+(D212*B212)+(B215*D215)+(D218*B218)+(D221*B221)+(D224*B224)+(D227*B227)+(B230*D230)+(D233*B233)+(D236*B236)+(D239*B239)+(D242*B242)+(D245*B245)+(D248*B248)+(D251*B251)+(D254*B254)+(D257*B257)+(D260*B260)+(D263*B263)+(D266*B266)+(B269*D269)+(D272*B272)+(B275*D275)+(D278*B278)+(D281*B281)+(B284*D284)+(D287*B287)+(D290*B290)+(B293*D293)+(D296*B296)+(B299*D299)+(D302*B302)+(D305*B305)+(D308*B308)+(D311*B311)+(D314*B314)+(D317*B317)+(D320*B320)+(D323*B323)+(D326*B326)+(D329*B329)+(D332*B332)+(D335*B335)+(D338*B338)+(D341*B341)+(D344*B344)+(D347*B347)+(D350*B350)+(D353*B353)+(D356*B356)+(D359*B359)+(D362*B362)+(D365*B365)+(D368*B368)+(D371*B371)+(D374*B374)+(D377*B377)+(D380*B380)+(D383*B383)+(D386*B386)+(D389*B389)+(D392*B392)+(D395*B395)+(D398*B398))/B402</f>
        <v>24.017995984597956</v>
      </c>
      <c r="E402" s="13"/>
      <c r="F402" s="13"/>
      <c r="G402" s="12">
        <f>G2+G5+G8+G11+G14+G17+G86+G20+G23+G26+G29+G32+G35+G38+G41+G44+G47+G50+G53+G56+G59+G62+G65+G68+G71+G74+G77+G80+G83+G89+G92+G95+G98+G101+G104+G107+G110+G113+G116+G119+G122+G125+G128+G131+G134+G137+G140+G143+G146+G149+G152+G155+G158+G161+G164+G167+G170+G173+G176+G179+G182+G185+G188+G191+G194+G197+G200+G203+G206+G209+G212+G215+G218+G221+G224+G227+G230+G233+G236+G239+G242+G245+G248+G251+G254+G257+G260+G263+G266+G269+G272+G275+G278+G281+G284+G287+G290+G293+G296+G299+G302+G305+G308+G311+G314+G317+G320+G323+G326+G329+G332+G335+G338+G341+G344+G347+G350+G353+G356+G359+G362+G365+G368+G371+G374+G377+G380+G383+G386+G389+G392+G395+G398</f>
        <v>212078904.54399994</v>
      </c>
    </row>
    <row r="403" spans="1:7" x14ac:dyDescent="0.25">
      <c r="B403" s="19"/>
      <c r="C403" s="33"/>
      <c r="E403" s="14"/>
      <c r="F403" s="14"/>
    </row>
    <row r="404" spans="1:7" x14ac:dyDescent="0.25">
      <c r="B404" s="19"/>
      <c r="C404" s="32"/>
      <c r="D404" s="13"/>
      <c r="G404" s="19"/>
    </row>
    <row r="405" spans="1:7" x14ac:dyDescent="0.25">
      <c r="B405" s="12"/>
      <c r="C405" s="27"/>
      <c r="D405" s="13"/>
      <c r="G405" s="12"/>
    </row>
    <row r="410" spans="1:7" x14ac:dyDescent="0.25">
      <c r="B410" s="19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Share buyback 2022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Romana Nosko</cp:lastModifiedBy>
  <dcterms:created xsi:type="dcterms:W3CDTF">2019-09-17T11:46:55Z</dcterms:created>
  <dcterms:modified xsi:type="dcterms:W3CDTF">2022-09-26T10:15:17Z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